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USA RECRUITING 2025\12 - Stock Documents\"/>
    </mc:Choice>
  </mc:AlternateContent>
  <xr:revisionPtr revIDLastSave="0" documentId="13_ncr:1_{ED95C603-66E9-43D8-9039-BCF0905DF23A}" xr6:coauthVersionLast="47" xr6:coauthVersionMax="47" xr10:uidLastSave="{00000000-0000-0000-0000-000000000000}"/>
  <bookViews>
    <workbookView xWindow="-120" yWindow="-120" windowWidth="20730" windowHeight="11160" tabRatio="757" activeTab="2" xr2:uid="{3B649118-5250-46F7-8569-7B2C182B5BAB}"/>
  </bookViews>
  <sheets>
    <sheet name="CapTable" sheetId="7" r:id="rId1"/>
    <sheet name="PartnersValue" sheetId="8" r:id="rId2"/>
    <sheet name="Convertible" sheetId="9" r:id="rId3"/>
    <sheet name="YOY" sheetId="3" r:id="rId4"/>
    <sheet name="Assumptions" sheetId="4" r:id="rId5"/>
    <sheet name="Intg Value" sheetId="5" r:id="rId6"/>
    <sheet name="Valuation Methods" sheetId="2" r:id="rId7"/>
    <sheet name="Ref" sheetId="6" r:id="rId8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5" l="1"/>
  <c r="I17" i="5"/>
  <c r="I16" i="5"/>
  <c r="I15" i="5"/>
  <c r="I14" i="5"/>
  <c r="I13" i="5"/>
  <c r="I12" i="5"/>
  <c r="I19" i="5" s="1"/>
  <c r="H10" i="5"/>
  <c r="H9" i="5"/>
  <c r="H11" i="5" s="1"/>
  <c r="F15" i="9"/>
  <c r="F14" i="9"/>
  <c r="F12" i="9"/>
  <c r="F11" i="9"/>
  <c r="F10" i="9"/>
  <c r="K31" i="8"/>
  <c r="K30" i="8"/>
  <c r="K27" i="8"/>
  <c r="K18" i="8"/>
  <c r="K21" i="8" s="1"/>
  <c r="P13" i="8"/>
  <c r="P14" i="8" s="1"/>
  <c r="P15" i="8" s="1"/>
  <c r="O13" i="8"/>
  <c r="O14" i="8" s="1"/>
  <c r="O15" i="8" s="1"/>
  <c r="N13" i="8"/>
  <c r="N14" i="8" s="1"/>
  <c r="N15" i="8" s="1"/>
  <c r="K8" i="8"/>
  <c r="K9" i="8"/>
  <c r="K11" i="8" s="1"/>
  <c r="H7" i="7"/>
  <c r="P8" i="4"/>
  <c r="Q8" i="4" s="1"/>
  <c r="O7" i="4"/>
  <c r="N7" i="4"/>
  <c r="M7" i="4"/>
  <c r="L7" i="4"/>
  <c r="K7" i="4"/>
  <c r="J7" i="4"/>
  <c r="I7" i="4"/>
  <c r="H7" i="4"/>
  <c r="G7" i="4"/>
  <c r="F7" i="4"/>
  <c r="E7" i="4"/>
  <c r="D7" i="4"/>
  <c r="C7" i="4"/>
  <c r="P7" i="4" s="1"/>
  <c r="Q7" i="4" s="1"/>
  <c r="Q6" i="4"/>
  <c r="P6" i="4"/>
  <c r="P5" i="4"/>
  <c r="Q5" i="4" s="1"/>
  <c r="P5" i="3"/>
  <c r="Q5" i="3" s="1"/>
  <c r="L4" i="9"/>
  <c r="I4" i="9"/>
  <c r="L12" i="9"/>
  <c r="L8" i="9"/>
  <c r="I12" i="9"/>
  <c r="I8" i="9"/>
  <c r="I9" i="9" s="1"/>
  <c r="I10" i="9" s="1"/>
  <c r="F8" i="9"/>
  <c r="F9" i="9" s="1"/>
  <c r="K28" i="8"/>
  <c r="K26" i="8"/>
  <c r="P18" i="8"/>
  <c r="O18" i="8"/>
  <c r="N18" i="8"/>
  <c r="C10" i="2"/>
  <c r="C11" i="2" s="1"/>
  <c r="C13" i="2" s="1"/>
  <c r="F15" i="8"/>
  <c r="F18" i="8" s="1"/>
  <c r="F20" i="8" s="1"/>
  <c r="F11" i="8"/>
  <c r="B17" i="7"/>
  <c r="C17" i="7"/>
  <c r="C10" i="7"/>
  <c r="D10" i="7"/>
  <c r="E10" i="7"/>
  <c r="F10" i="7"/>
  <c r="H9" i="7"/>
  <c r="H8" i="7"/>
  <c r="F20" i="2"/>
  <c r="F21" i="2" s="1"/>
  <c r="F23" i="2" s="1"/>
  <c r="F25" i="2" s="1"/>
  <c r="E20" i="2"/>
  <c r="E21" i="2" s="1"/>
  <c r="E23" i="2" s="1"/>
  <c r="E25" i="2" s="1"/>
  <c r="D20" i="2"/>
  <c r="D21" i="2" s="1"/>
  <c r="D23" i="2" s="1"/>
  <c r="D25" i="2" s="1"/>
  <c r="C20" i="2"/>
  <c r="C21" i="2" s="1"/>
  <c r="C23" i="2" s="1"/>
  <c r="C25" i="2" s="1"/>
  <c r="K11" i="2"/>
  <c r="K12" i="2" s="1"/>
  <c r="J11" i="2"/>
  <c r="J12" i="2" s="1"/>
  <c r="I11" i="2"/>
  <c r="I12" i="2" s="1"/>
  <c r="L11" i="2"/>
  <c r="L12" i="2" s="1"/>
  <c r="F10" i="2"/>
  <c r="F11" i="2" s="1"/>
  <c r="F13" i="2" s="1"/>
  <c r="E10" i="2"/>
  <c r="E11" i="2" s="1"/>
  <c r="E13" i="2" s="1"/>
  <c r="I29" i="5"/>
  <c r="J22" i="4"/>
  <c r="I22" i="4"/>
  <c r="H22" i="4"/>
  <c r="G22" i="4"/>
  <c r="J16" i="4"/>
  <c r="K16" i="4" s="1"/>
  <c r="L16" i="4" s="1"/>
  <c r="M16" i="4" s="1"/>
  <c r="J14" i="4"/>
  <c r="K14" i="4" s="1"/>
  <c r="J13" i="4"/>
  <c r="K13" i="4" s="1"/>
  <c r="I14" i="4"/>
  <c r="H14" i="4"/>
  <c r="G14" i="4"/>
  <c r="F14" i="4"/>
  <c r="E14" i="4"/>
  <c r="P6" i="3"/>
  <c r="Q6" i="3" s="1"/>
  <c r="O7" i="3"/>
  <c r="N7" i="3"/>
  <c r="M7" i="3"/>
  <c r="L7" i="3"/>
  <c r="K7" i="3"/>
  <c r="J7" i="3"/>
  <c r="I7" i="3"/>
  <c r="H7" i="3"/>
  <c r="G7" i="3"/>
  <c r="F7" i="3"/>
  <c r="E7" i="3"/>
  <c r="D7" i="3"/>
  <c r="D10" i="2"/>
  <c r="D11" i="2" s="1"/>
  <c r="D13" i="2" s="1"/>
  <c r="I31" i="5" l="1"/>
  <c r="I11" i="9"/>
  <c r="K19" i="8"/>
  <c r="K20" i="8" s="1"/>
  <c r="K22" i="8" s="1"/>
  <c r="K13" i="8"/>
  <c r="K14" i="8" s="1"/>
  <c r="K15" i="8" s="1"/>
  <c r="K12" i="8"/>
  <c r="F16" i="8"/>
  <c r="F17" i="8" s="1"/>
  <c r="L11" i="9"/>
  <c r="L13" i="9" s="1"/>
  <c r="L14" i="9" s="1"/>
  <c r="L9" i="9"/>
  <c r="F13" i="9"/>
  <c r="I13" i="9"/>
  <c r="I14" i="9" s="1"/>
  <c r="I15" i="9" s="1"/>
  <c r="K13" i="2"/>
  <c r="J13" i="2"/>
  <c r="L13" i="2"/>
  <c r="I13" i="2"/>
  <c r="L15" i="9" l="1"/>
  <c r="L10" i="9"/>
  <c r="P7" i="3" l="1"/>
  <c r="Q7" i="3" s="1"/>
  <c r="C7" i="3"/>
  <c r="P8" i="3"/>
  <c r="Q8" i="3" s="1"/>
</calcChain>
</file>

<file path=xl/sharedStrings.xml><?xml version="1.0" encoding="utf-8"?>
<sst xmlns="http://schemas.openxmlformats.org/spreadsheetml/2006/main" count="208" uniqueCount="177">
  <si>
    <t xml:space="preserve">Net Profit </t>
  </si>
  <si>
    <t>Year</t>
  </si>
  <si>
    <t xml:space="preserve">EPS </t>
  </si>
  <si>
    <t>New stock price</t>
  </si>
  <si>
    <t>Real</t>
  </si>
  <si>
    <t>Gross</t>
  </si>
  <si>
    <t>3 Timex</t>
  </si>
  <si>
    <t>Value</t>
  </si>
  <si>
    <t>Shares</t>
  </si>
  <si>
    <t>Price Share</t>
  </si>
  <si>
    <t>total active partners</t>
  </si>
  <si>
    <t xml:space="preserve">Total </t>
  </si>
  <si>
    <t xml:space="preserve">Net Income </t>
  </si>
  <si>
    <t>Expenses</t>
  </si>
  <si>
    <t>YOY Performance</t>
  </si>
  <si>
    <t>Annual Avg</t>
  </si>
  <si>
    <t>30% Equity</t>
  </si>
  <si>
    <t xml:space="preserve">NA </t>
  </si>
  <si>
    <t>5 Years</t>
  </si>
  <si>
    <t>5 Yr. Performance</t>
  </si>
  <si>
    <t>Investment Performance</t>
  </si>
  <si>
    <t xml:space="preserve">Investment Amount </t>
  </si>
  <si>
    <t>Cash Return 30%</t>
  </si>
  <si>
    <t>YOY ROI</t>
  </si>
  <si>
    <t xml:space="preserve">Avg. CD Rate </t>
  </si>
  <si>
    <t xml:space="preserve">Avg. Money Market </t>
  </si>
  <si>
    <t>Avg. S&amp;P 500</t>
  </si>
  <si>
    <t xml:space="preserve">Intangible &amp; Intrinsic Value Internet or Tech Companies </t>
  </si>
  <si>
    <t>Data</t>
  </si>
  <si>
    <t xml:space="preserve">Fixed clientele value </t>
  </si>
  <si>
    <t xml:space="preserve">Number of fixed clients </t>
  </si>
  <si>
    <t xml:space="preserve">No of applications received 12 years </t>
  </si>
  <si>
    <t xml:space="preserve">No of prospect listing agents </t>
  </si>
  <si>
    <t xml:space="preserve">Small business expo listing </t>
  </si>
  <si>
    <t xml:space="preserve">Floral business listing </t>
  </si>
  <si>
    <t xml:space="preserve">Facebook proprietary listings </t>
  </si>
  <si>
    <t xml:space="preserve">UCC Data </t>
  </si>
  <si>
    <t xml:space="preserve">Total Value </t>
  </si>
  <si>
    <t xml:space="preserve">Value </t>
  </si>
  <si>
    <t xml:space="preserve">Branding </t>
  </si>
  <si>
    <t>Primary website</t>
  </si>
  <si>
    <t xml:space="preserve">Social media </t>
  </si>
  <si>
    <t xml:space="preserve">Domains </t>
  </si>
  <si>
    <t xml:space="preserve">Proprietary technology </t>
  </si>
  <si>
    <t xml:space="preserve">Linktolender.com </t>
  </si>
  <si>
    <t>Internal systems / Software</t>
  </si>
  <si>
    <t xml:space="preserve">TOTAL VALUE INSTRINSIC / INTANGIBLE </t>
  </si>
  <si>
    <t xml:space="preserve">Average loan amount </t>
  </si>
  <si>
    <t xml:space="preserve">Totan loan average volume </t>
  </si>
  <si>
    <t>Cost p Unit</t>
  </si>
  <si>
    <t>https://www.investopedia.com/articles/investing/121013/how-value-companies-negative-earnings.asp</t>
  </si>
  <si>
    <t>total shares</t>
  </si>
  <si>
    <t>https://www.investopedia.com/ask/answers/011315/what-difference-between-authorized-shares-and-outstanding-shares.asp</t>
  </si>
  <si>
    <t>Outstanding shares</t>
  </si>
  <si>
    <t>PE Ratio 6</t>
  </si>
  <si>
    <t>Earnigs Per Share Method: Net Earnings, Earning per share</t>
  </si>
  <si>
    <t xml:space="preserve">Gross earning valuation : Gross Earnings x 3 </t>
  </si>
  <si>
    <t xml:space="preserve">Gross earning valuation plus intrinstic and intagible value </t>
  </si>
  <si>
    <t xml:space="preserve">EPS valuation plus intrinstic and intagible value </t>
  </si>
  <si>
    <t xml:space="preserve">*excluded discounted cash flow, based on projections of future earnings, following methods are based on real cash flow and value </t>
  </si>
  <si>
    <t>as opposed to future gross earnings, expenses and net profits</t>
  </si>
  <si>
    <t>Intrinsic Value</t>
  </si>
  <si>
    <t>https://www.youtube.com/watch?v=OxwO8r5Ib14</t>
  </si>
  <si>
    <t>https://www.youtube.com/watch?v=_A9h-JZk7mo</t>
  </si>
  <si>
    <t xml:space="preserve">Cap table pre-investment </t>
  </si>
  <si>
    <t>Shareholder</t>
  </si>
  <si>
    <t xml:space="preserve">Gil Zapata </t>
  </si>
  <si>
    <t xml:space="preserve">KGFA Capital Ventures Inc </t>
  </si>
  <si>
    <t>Classification</t>
  </si>
  <si>
    <t xml:space="preserve">Founder </t>
  </si>
  <si>
    <t xml:space="preserve">Investor </t>
  </si>
  <si>
    <t>Common stock</t>
  </si>
  <si>
    <t>Fully dilluted</t>
  </si>
  <si>
    <t>Common options</t>
  </si>
  <si>
    <t>% FD</t>
  </si>
  <si>
    <t>P per share</t>
  </si>
  <si>
    <t>Total value</t>
  </si>
  <si>
    <t xml:space="preserve">Cap Table Summary </t>
  </si>
  <si>
    <t xml:space="preserve">Cap Table Pre-Invesment &amp; Option Pool </t>
  </si>
  <si>
    <t xml:space="preserve">Shareholder </t>
  </si>
  <si>
    <t>%FD</t>
  </si>
  <si>
    <t xml:space="preserve">KGFA Capital </t>
  </si>
  <si>
    <t xml:space="preserve">Total partners </t>
  </si>
  <si>
    <t xml:space="preserve">Activte partners (80/20) </t>
  </si>
  <si>
    <t xml:space="preserve">Result time frame (Years) </t>
  </si>
  <si>
    <t>Obtain stock option fund more than</t>
  </si>
  <si>
    <t>Gross average funding per active partner</t>
  </si>
  <si>
    <t xml:space="preserve">average deal size </t>
  </si>
  <si>
    <t>total new deals per partner per year</t>
  </si>
  <si>
    <t xml:space="preserve">Active partners generate results </t>
  </si>
  <si>
    <t xml:space="preserve">total new deal per partner </t>
  </si>
  <si>
    <t xml:space="preserve">total new deals on all active partners </t>
  </si>
  <si>
    <t xml:space="preserve">cash value </t>
  </si>
  <si>
    <t xml:space="preserve">stock option payout via option pool </t>
  </si>
  <si>
    <t xml:space="preserve">Total value pre-investment (all shares) </t>
  </si>
  <si>
    <t xml:space="preserve">Partners ownership percentage </t>
  </si>
  <si>
    <t>Yearly</t>
  </si>
  <si>
    <t>No of referrals</t>
  </si>
  <si>
    <t xml:space="preserve">Percent funded </t>
  </si>
  <si>
    <t>Average loan size</t>
  </si>
  <si>
    <t>Total volume</t>
  </si>
  <si>
    <t xml:space="preserve">Payout referral </t>
  </si>
  <si>
    <t>Stock issued (option pool)</t>
  </si>
  <si>
    <t xml:space="preserve">Worst and Best Case Stock Value </t>
  </si>
  <si>
    <t>Year 1</t>
  </si>
  <si>
    <t>Year 2</t>
  </si>
  <si>
    <t>Year 3</t>
  </si>
  <si>
    <t xml:space="preserve">No of shares issued stock price </t>
  </si>
  <si>
    <t>Assumption</t>
  </si>
  <si>
    <t>Current</t>
  </si>
  <si>
    <t xml:space="preserve">Down </t>
  </si>
  <si>
    <t xml:space="preserve">Up </t>
  </si>
  <si>
    <t>P. per share</t>
  </si>
  <si>
    <t>Partner shares</t>
  </si>
  <si>
    <t>Value of shares</t>
  </si>
  <si>
    <t xml:space="preserve">1% Flat fee referral only </t>
  </si>
  <si>
    <t xml:space="preserve">Stock issued (option pool) </t>
  </si>
  <si>
    <t xml:space="preserve">Total earnings (cash &amp; stock) </t>
  </si>
  <si>
    <t>Franchise partner 70% pay out of gross earnings</t>
  </si>
  <si>
    <t xml:space="preserve">Average earnings </t>
  </si>
  <si>
    <t>70% pay out</t>
  </si>
  <si>
    <t xml:space="preserve">Gross funded ($400K) monthly </t>
  </si>
  <si>
    <t>Addtstock</t>
  </si>
  <si>
    <t xml:space="preserve">Based on 1% flat fee referal only </t>
  </si>
  <si>
    <t>STOCK OPTION VIA OPTION POOL TO PARTNERS</t>
  </si>
  <si>
    <t xml:space="preserve">Excludes additional fundraising rounds. If new stock is issued or when we raise from institutional investor, share of stock could rise, be dilluted and may have liquidity </t>
  </si>
  <si>
    <t xml:space="preserve">Minimum investment </t>
  </si>
  <si>
    <t xml:space="preserve">Principal amount of convertible note </t>
  </si>
  <si>
    <t xml:space="preserve">Annual interest rate </t>
  </si>
  <si>
    <t xml:space="preserve">Annual return </t>
  </si>
  <si>
    <t xml:space="preserve">Gross return </t>
  </si>
  <si>
    <t xml:space="preserve">Monthly payment </t>
  </si>
  <si>
    <t>Target</t>
  </si>
  <si>
    <t xml:space="preserve">Interest only </t>
  </si>
  <si>
    <t xml:space="preserve">50% of principal balance </t>
  </si>
  <si>
    <t xml:space="preserve">Total monthly pay out </t>
  </si>
  <si>
    <t>Annual payout</t>
  </si>
  <si>
    <t xml:space="preserve">Pending balance convertible stock </t>
  </si>
  <si>
    <t xml:space="preserve">Pending balance (pay off or convert stock) </t>
  </si>
  <si>
    <t>100% of principal</t>
  </si>
  <si>
    <t>50% of principal</t>
  </si>
  <si>
    <t>No of investors a 2,000</t>
  </si>
  <si>
    <t xml:space="preserve">Balance sheet highlights </t>
  </si>
  <si>
    <t xml:space="preserve">Cash &amp; Cash Equivalents </t>
  </si>
  <si>
    <t>Total Assets</t>
  </si>
  <si>
    <t>Total Liabilities</t>
  </si>
  <si>
    <t xml:space="preserve">Shareholders Equity </t>
  </si>
  <si>
    <t xml:space="preserve">Partner - Associate Goals </t>
  </si>
  <si>
    <t xml:space="preserve">Associate  Cash Pay Out &amp; Stock Value in Time </t>
  </si>
  <si>
    <t xml:space="preserve">*return assumption can fluctuage. CD, Money market and SP return as of 2024. </t>
  </si>
  <si>
    <t>Gross Volume</t>
  </si>
  <si>
    <t xml:space="preserve">YOY Performance: Income Expenses </t>
  </si>
  <si>
    <t>Gross Operating Income</t>
  </si>
  <si>
    <t xml:space="preserve">average increase on gross earnings to co. </t>
  </si>
  <si>
    <t>average new gross earnings</t>
  </si>
  <si>
    <t>average pay out commissions COGS</t>
  </si>
  <si>
    <t xml:space="preserve">Active Referral Agents (7 p. month) </t>
  </si>
  <si>
    <t>GOI + Assets</t>
  </si>
  <si>
    <t>X 5</t>
  </si>
  <si>
    <t>Associate: Broker / Agent Full Time (average pay out 50%)</t>
  </si>
  <si>
    <t>Gross funded (Low end) monthly</t>
  </si>
  <si>
    <t>Commission cash associate average</t>
  </si>
  <si>
    <t xml:space="preserve">Average GOI 7% </t>
  </si>
  <si>
    <t xml:space="preserve">Franchise fee ($15,000) </t>
  </si>
  <si>
    <t>NOI to CO</t>
  </si>
  <si>
    <t>1% to 2% fee to ref. agent</t>
  </si>
  <si>
    <t xml:space="preserve">Fee generate 6% average </t>
  </si>
  <si>
    <t>Average lender return 31%</t>
  </si>
  <si>
    <t xml:space="preserve">SBA Data </t>
  </si>
  <si>
    <t>Lendinero Latam Academy for LATAM agents</t>
  </si>
  <si>
    <t>Lendinero Network Academy for USA agents</t>
  </si>
  <si>
    <t>Option pool equity based comp</t>
  </si>
  <si>
    <t>Partners/Agents</t>
  </si>
  <si>
    <t>Option pool equity based comp*</t>
  </si>
  <si>
    <t>FD**</t>
  </si>
  <si>
    <t>**FD = fully diluted shares</t>
  </si>
  <si>
    <t xml:space="preserve">* Equity based compensation to agents or distributors match. Convertibles on convertible notes to investors or partners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</si>
</sst>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3" fontId="0" fillId="0" borderId="0" xfId="0" applyNumberFormat="1"/>
    <xf numFmtId="2" fontId="0" fillId="0" borderId="0" xfId="0" applyNumberFormat="1"/>
    <xf numFmtId="44" fontId="0" fillId="0" borderId="0" xfId="1" applyFont="1"/>
    <xf numFmtId="9" fontId="0" fillId="0" borderId="0" xfId="0" applyNumberFormat="1"/>
    <xf numFmtId="8" fontId="0" fillId="0" borderId="0" xfId="0" applyNumberFormat="1"/>
    <xf numFmtId="1" fontId="0" fillId="0" borderId="0" xfId="0" applyNumberFormat="1"/>
    <xf numFmtId="10" fontId="0" fillId="0" borderId="0" xfId="2" applyNumberFormat="1" applyFont="1"/>
    <xf numFmtId="9" fontId="0" fillId="0" borderId="0" xfId="2" applyFont="1"/>
    <xf numFmtId="0" fontId="0" fillId="0" borderId="0" xfId="0" applyAlignment="1">
      <alignment horizontal="left"/>
    </xf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44" fontId="0" fillId="0" borderId="0" xfId="0" applyNumberFormat="1"/>
    <xf numFmtId="164" fontId="0" fillId="0" borderId="0" xfId="0" applyNumberForma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0" fillId="0" borderId="2" xfId="0" applyBorder="1"/>
    <xf numFmtId="0" fontId="0" fillId="0" borderId="3" xfId="0" applyBorder="1"/>
    <xf numFmtId="0" fontId="4" fillId="2" borderId="0" xfId="0" applyFont="1" applyFill="1"/>
    <xf numFmtId="0" fontId="5" fillId="2" borderId="0" xfId="0" applyFont="1" applyFill="1"/>
    <xf numFmtId="3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9" fontId="0" fillId="0" borderId="1" xfId="0" applyNumberFormat="1" applyBorder="1"/>
    <xf numFmtId="0" fontId="0" fillId="0" borderId="4" xfId="0" applyBorder="1"/>
    <xf numFmtId="9" fontId="0" fillId="0" borderId="6" xfId="0" applyNumberFormat="1" applyBorder="1"/>
    <xf numFmtId="9" fontId="0" fillId="0" borderId="8" xfId="0" applyNumberFormat="1" applyBorder="1"/>
    <xf numFmtId="0" fontId="8" fillId="0" borderId="0" xfId="0" applyFont="1"/>
    <xf numFmtId="0" fontId="0" fillId="0" borderId="10" xfId="0" applyBorder="1"/>
    <xf numFmtId="164" fontId="0" fillId="0" borderId="10" xfId="1" applyNumberFormat="1" applyFont="1" applyBorder="1"/>
    <xf numFmtId="164" fontId="0" fillId="0" borderId="5" xfId="1" applyNumberFormat="1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0" fillId="0" borderId="7" xfId="0" applyNumberFormat="1" applyBorder="1"/>
    <xf numFmtId="9" fontId="0" fillId="0" borderId="7" xfId="2" applyFont="1" applyBorder="1"/>
    <xf numFmtId="0" fontId="2" fillId="0" borderId="6" xfId="0" applyFont="1" applyBorder="1"/>
    <xf numFmtId="0" fontId="0" fillId="0" borderId="11" xfId="0" applyBorder="1"/>
    <xf numFmtId="3" fontId="0" fillId="0" borderId="12" xfId="0" applyNumberFormat="1" applyBorder="1"/>
    <xf numFmtId="0" fontId="6" fillId="0" borderId="4" xfId="0" applyFont="1" applyBorder="1"/>
    <xf numFmtId="2" fontId="0" fillId="0" borderId="12" xfId="0" applyNumberFormat="1" applyBorder="1"/>
    <xf numFmtId="0" fontId="0" fillId="0" borderId="12" xfId="0" applyBorder="1"/>
    <xf numFmtId="0" fontId="4" fillId="2" borderId="4" xfId="0" applyFont="1" applyFill="1" applyBorder="1"/>
    <xf numFmtId="0" fontId="5" fillId="2" borderId="10" xfId="0" applyFont="1" applyFill="1" applyBorder="1"/>
    <xf numFmtId="0" fontId="5" fillId="2" borderId="5" xfId="0" applyFont="1" applyFill="1" applyBorder="1"/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1" applyNumberFormat="1" applyFont="1" applyBorder="1"/>
    <xf numFmtId="164" fontId="0" fillId="0" borderId="1" xfId="0" applyNumberFormat="1" applyBorder="1"/>
    <xf numFmtId="44" fontId="0" fillId="0" borderId="1" xfId="0" applyNumberFormat="1" applyBorder="1"/>
    <xf numFmtId="0" fontId="9" fillId="2" borderId="0" xfId="0" applyFont="1" applyFill="1"/>
    <xf numFmtId="10" fontId="0" fillId="0" borderId="0" xfId="0" applyNumberFormat="1"/>
    <xf numFmtId="0" fontId="10" fillId="2" borderId="0" xfId="0" applyFont="1" applyFill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1" fillId="0" borderId="0" xfId="1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2" fillId="0" borderId="0" xfId="0" applyFont="1" applyAlignment="1">
      <alignment horizontal="left"/>
    </xf>
    <xf numFmtId="164" fontId="12" fillId="0" borderId="0" xfId="1" applyNumberFormat="1" applyFont="1" applyAlignment="1">
      <alignment horizontal="center"/>
    </xf>
    <xf numFmtId="164" fontId="12" fillId="0" borderId="0" xfId="0" applyNumberFormat="1" applyFont="1"/>
    <xf numFmtId="44" fontId="12" fillId="0" borderId="0" xfId="0" applyNumberFormat="1" applyFont="1"/>
    <xf numFmtId="0" fontId="12" fillId="0" borderId="1" xfId="0" applyFont="1" applyBorder="1" applyAlignment="1">
      <alignment horizontal="left"/>
    </xf>
    <xf numFmtId="164" fontId="12" fillId="0" borderId="1" xfId="1" applyNumberFormat="1" applyFont="1" applyBorder="1"/>
    <xf numFmtId="164" fontId="12" fillId="0" borderId="1" xfId="0" applyNumberFormat="1" applyFont="1" applyBorder="1"/>
    <xf numFmtId="44" fontId="12" fillId="0" borderId="1" xfId="0" applyNumberFormat="1" applyFont="1" applyBorder="1"/>
    <xf numFmtId="9" fontId="0" fillId="0" borderId="0" xfId="0" applyNumberFormat="1" applyAlignment="1">
      <alignment horizontal="left"/>
    </xf>
    <xf numFmtId="9" fontId="0" fillId="0" borderId="0" xfId="0" applyNumberFormat="1" applyAlignment="1">
      <alignment horizontal="center"/>
    </xf>
    <xf numFmtId="0" fontId="2" fillId="0" borderId="4" xfId="0" applyFont="1" applyBorder="1"/>
    <xf numFmtId="1" fontId="0" fillId="0" borderId="7" xfId="0" applyNumberFormat="1" applyBorder="1"/>
    <xf numFmtId="2" fontId="0" fillId="0" borderId="7" xfId="0" applyNumberFormat="1" applyBorder="1"/>
    <xf numFmtId="3" fontId="0" fillId="0" borderId="10" xfId="0" applyNumberFormat="1" applyBorder="1"/>
    <xf numFmtId="3" fontId="0" fillId="0" borderId="5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0" borderId="16" xfId="0" applyFont="1" applyBorder="1"/>
    <xf numFmtId="0" fontId="0" fillId="3" borderId="1" xfId="0" applyFill="1" applyBorder="1"/>
    <xf numFmtId="9" fontId="0" fillId="3" borderId="1" xfId="0" applyNumberFormat="1" applyFill="1" applyBorder="1"/>
    <xf numFmtId="1" fontId="0" fillId="3" borderId="1" xfId="0" applyNumberFormat="1" applyFill="1" applyBorder="1"/>
    <xf numFmtId="44" fontId="0" fillId="0" borderId="1" xfId="1" applyFont="1" applyBorder="1"/>
    <xf numFmtId="44" fontId="2" fillId="0" borderId="1" xfId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27" xfId="0" applyFont="1" applyBorder="1" applyAlignment="1">
      <alignment horizontal="center"/>
    </xf>
    <xf numFmtId="0" fontId="0" fillId="0" borderId="28" xfId="0" applyBorder="1"/>
    <xf numFmtId="9" fontId="0" fillId="0" borderId="28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44" fontId="0" fillId="0" borderId="28" xfId="1" applyFont="1" applyBorder="1" applyAlignment="1">
      <alignment horizontal="left"/>
    </xf>
    <xf numFmtId="44" fontId="0" fillId="0" borderId="29" xfId="1" applyFont="1" applyBorder="1" applyAlignment="1">
      <alignment horizontal="left"/>
    </xf>
    <xf numFmtId="44" fontId="0" fillId="0" borderId="28" xfId="1" applyFont="1" applyBorder="1"/>
    <xf numFmtId="44" fontId="0" fillId="0" borderId="29" xfId="1" applyFont="1" applyBorder="1"/>
    <xf numFmtId="0" fontId="0" fillId="0" borderId="19" xfId="0" applyBorder="1"/>
    <xf numFmtId="0" fontId="0" fillId="0" borderId="20" xfId="0" applyBorder="1"/>
    <xf numFmtId="44" fontId="0" fillId="0" borderId="27" xfId="1" applyFont="1" applyBorder="1"/>
    <xf numFmtId="1" fontId="0" fillId="0" borderId="10" xfId="1" applyNumberFormat="1" applyFont="1" applyBorder="1"/>
    <xf numFmtId="1" fontId="0" fillId="0" borderId="0" xfId="1" applyNumberFormat="1" applyFont="1" applyBorder="1"/>
    <xf numFmtId="1" fontId="0" fillId="0" borderId="2" xfId="1" applyNumberFormat="1" applyFont="1" applyBorder="1"/>
    <xf numFmtId="44" fontId="0" fillId="0" borderId="0" xfId="1" applyFont="1" applyBorder="1"/>
    <xf numFmtId="44" fontId="0" fillId="0" borderId="2" xfId="1" applyFont="1" applyBorder="1"/>
    <xf numFmtId="0" fontId="0" fillId="2" borderId="4" xfId="0" applyFill="1" applyBorder="1"/>
    <xf numFmtId="0" fontId="0" fillId="2" borderId="10" xfId="0" applyFill="1" applyBorder="1"/>
    <xf numFmtId="0" fontId="0" fillId="2" borderId="5" xfId="0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ysClr val="windowText" lastClr="000000"/>
                </a:solidFill>
              </a:rPr>
              <a:t>YOY Gross</a:t>
            </a:r>
            <a:r>
              <a:rPr lang="en-GB" baseline="0">
                <a:solidFill>
                  <a:sysClr val="windowText" lastClr="000000"/>
                </a:solidFill>
              </a:rPr>
              <a:t> Income 2012 - 2024</a:t>
            </a:r>
            <a:endParaRPr lang="en-GB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YOY!$C$6:$O$6</c:f>
              <c:numCache>
                <c:formatCode>_("$"* #,##0_);_("$"* \(#,##0\);_("$"* "-"??_);_(@_)</c:formatCode>
                <c:ptCount val="13"/>
                <c:pt idx="0">
                  <c:v>28641</c:v>
                </c:pt>
                <c:pt idx="1">
                  <c:v>106037</c:v>
                </c:pt>
                <c:pt idx="2">
                  <c:v>134864</c:v>
                </c:pt>
                <c:pt idx="3">
                  <c:v>172490</c:v>
                </c:pt>
                <c:pt idx="4">
                  <c:v>182500</c:v>
                </c:pt>
                <c:pt idx="5">
                  <c:v>245000</c:v>
                </c:pt>
                <c:pt idx="6">
                  <c:v>316163</c:v>
                </c:pt>
                <c:pt idx="7">
                  <c:v>342514</c:v>
                </c:pt>
                <c:pt idx="8">
                  <c:v>215334</c:v>
                </c:pt>
                <c:pt idx="9">
                  <c:v>660813</c:v>
                </c:pt>
                <c:pt idx="10">
                  <c:v>634850</c:v>
                </c:pt>
                <c:pt idx="11">
                  <c:v>358749</c:v>
                </c:pt>
                <c:pt idx="12">
                  <c:v>610000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6-4343-90CF-B832DDBD5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6507535"/>
        <c:axId val="1956510895"/>
      </c:lineChart>
      <c:catAx>
        <c:axId val="19565075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510895"/>
        <c:crosses val="autoZero"/>
        <c:auto val="1"/>
        <c:lblAlgn val="ctr"/>
        <c:lblOffset val="100"/>
        <c:noMultiLvlLbl val="0"/>
      </c:catAx>
      <c:valAx>
        <c:axId val="195651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507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YOY</a:t>
            </a:r>
            <a:r>
              <a:rPr lang="en-GB" baseline="0"/>
              <a:t> Expenses</a:t>
            </a:r>
            <a:endParaRPr lang="en-GB"/>
          </a:p>
        </c:rich>
      </c:tx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YOY!$C$7:$O$7</c:f>
              <c:numCache>
                <c:formatCode>_("$"* #,##0_);_("$"* \(#,##0\);_("$"* "-"??_);_(@_)</c:formatCode>
                <c:ptCount val="13"/>
                <c:pt idx="0">
                  <c:v>28269</c:v>
                </c:pt>
                <c:pt idx="1">
                  <c:v>91645</c:v>
                </c:pt>
                <c:pt idx="2">
                  <c:v>135841</c:v>
                </c:pt>
                <c:pt idx="3">
                  <c:v>156357</c:v>
                </c:pt>
                <c:pt idx="4">
                  <c:v>183658</c:v>
                </c:pt>
                <c:pt idx="5">
                  <c:v>253532</c:v>
                </c:pt>
                <c:pt idx="6">
                  <c:v>301249</c:v>
                </c:pt>
                <c:pt idx="7">
                  <c:v>257056</c:v>
                </c:pt>
                <c:pt idx="8">
                  <c:v>209821</c:v>
                </c:pt>
                <c:pt idx="9">
                  <c:v>471928</c:v>
                </c:pt>
                <c:pt idx="10">
                  <c:v>544227</c:v>
                </c:pt>
                <c:pt idx="11">
                  <c:v>346424</c:v>
                </c:pt>
                <c:pt idx="12">
                  <c:v>597675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7-4FBC-95E7-7E9454C54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1785519"/>
        <c:axId val="1191786959"/>
      </c:lineChart>
      <c:catAx>
        <c:axId val="1191785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786959"/>
        <c:crosses val="autoZero"/>
        <c:auto val="1"/>
        <c:lblAlgn val="ctr"/>
        <c:lblOffset val="100"/>
        <c:noMultiLvlLbl val="0"/>
      </c:catAx>
      <c:valAx>
        <c:axId val="119178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785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YOY</a:t>
            </a:r>
            <a:r>
              <a:rPr lang="en-GB" sz="1200" b="1" baseline="0">
                <a:solidFill>
                  <a:sysClr val="windowText" lastClr="000000"/>
                </a:solidFill>
              </a:rPr>
              <a:t> Net Income 2012-2024</a:t>
            </a:r>
            <a:endParaRPr lang="en-GB" sz="12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YOY!$C$8:$O$8</c:f>
              <c:numCache>
                <c:formatCode>_("$"* #,##0_);_("$"* \(#,##0\);_("$"* "-"??_);_(@_)</c:formatCode>
                <c:ptCount val="13"/>
                <c:pt idx="0">
                  <c:v>372</c:v>
                </c:pt>
                <c:pt idx="1">
                  <c:v>14392</c:v>
                </c:pt>
                <c:pt idx="2">
                  <c:v>-977</c:v>
                </c:pt>
                <c:pt idx="3">
                  <c:v>16133</c:v>
                </c:pt>
                <c:pt idx="4">
                  <c:v>-1158</c:v>
                </c:pt>
                <c:pt idx="5">
                  <c:v>-8532</c:v>
                </c:pt>
                <c:pt idx="6">
                  <c:v>14914</c:v>
                </c:pt>
                <c:pt idx="7">
                  <c:v>85458</c:v>
                </c:pt>
                <c:pt idx="8">
                  <c:v>5513</c:v>
                </c:pt>
                <c:pt idx="9">
                  <c:v>188885</c:v>
                </c:pt>
                <c:pt idx="10">
                  <c:v>90623</c:v>
                </c:pt>
                <c:pt idx="11">
                  <c:v>12325</c:v>
                </c:pt>
                <c:pt idx="12">
                  <c:v>12325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D-4E73-84D6-72DA8745E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636847"/>
        <c:axId val="1768625327"/>
      </c:lineChart>
      <c:catAx>
        <c:axId val="17686368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25327"/>
        <c:crosses val="autoZero"/>
        <c:auto val="1"/>
        <c:lblAlgn val="ctr"/>
        <c:lblOffset val="100"/>
        <c:noMultiLvlLbl val="0"/>
      </c:catAx>
      <c:valAx>
        <c:axId val="176862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6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YOY!$C$6:$O$6</c:f>
              <c:numCache>
                <c:formatCode>_("$"* #,##0_);_("$"* \(#,##0\);_("$"* "-"??_);_(@_)</c:formatCode>
                <c:ptCount val="13"/>
                <c:pt idx="0">
                  <c:v>28641</c:v>
                </c:pt>
                <c:pt idx="1">
                  <c:v>106037</c:v>
                </c:pt>
                <c:pt idx="2">
                  <c:v>134864</c:v>
                </c:pt>
                <c:pt idx="3">
                  <c:v>172490</c:v>
                </c:pt>
                <c:pt idx="4">
                  <c:v>182500</c:v>
                </c:pt>
                <c:pt idx="5">
                  <c:v>245000</c:v>
                </c:pt>
                <c:pt idx="6">
                  <c:v>316163</c:v>
                </c:pt>
                <c:pt idx="7">
                  <c:v>342514</c:v>
                </c:pt>
                <c:pt idx="8">
                  <c:v>215334</c:v>
                </c:pt>
                <c:pt idx="9">
                  <c:v>660813</c:v>
                </c:pt>
                <c:pt idx="10">
                  <c:v>634850</c:v>
                </c:pt>
                <c:pt idx="11">
                  <c:v>358749</c:v>
                </c:pt>
                <c:pt idx="12">
                  <c:v>610000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D-423F-BD14-CC5CC2EAA71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YOY!$C$7:$O$7</c:f>
              <c:numCache>
                <c:formatCode>_("$"* #,##0_);_("$"* \(#,##0\);_("$"* "-"??_);_(@_)</c:formatCode>
                <c:ptCount val="13"/>
                <c:pt idx="0">
                  <c:v>28269</c:v>
                </c:pt>
                <c:pt idx="1">
                  <c:v>91645</c:v>
                </c:pt>
                <c:pt idx="2">
                  <c:v>135841</c:v>
                </c:pt>
                <c:pt idx="3">
                  <c:v>156357</c:v>
                </c:pt>
                <c:pt idx="4">
                  <c:v>183658</c:v>
                </c:pt>
                <c:pt idx="5">
                  <c:v>253532</c:v>
                </c:pt>
                <c:pt idx="6">
                  <c:v>301249</c:v>
                </c:pt>
                <c:pt idx="7">
                  <c:v>257056</c:v>
                </c:pt>
                <c:pt idx="8">
                  <c:v>209821</c:v>
                </c:pt>
                <c:pt idx="9">
                  <c:v>471928</c:v>
                </c:pt>
                <c:pt idx="10">
                  <c:v>544227</c:v>
                </c:pt>
                <c:pt idx="11">
                  <c:v>346424</c:v>
                </c:pt>
                <c:pt idx="12">
                  <c:v>597675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D-423F-BD14-CC5CC2EAA71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YOY!#REF!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D-423F-BD14-CC5CC2EAA710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YOY!$C$8:$O$8</c:f>
              <c:numCache>
                <c:formatCode>_("$"* #,##0_);_("$"* \(#,##0\);_("$"* "-"??_);_(@_)</c:formatCode>
                <c:ptCount val="13"/>
                <c:pt idx="0">
                  <c:v>372</c:v>
                </c:pt>
                <c:pt idx="1">
                  <c:v>14392</c:v>
                </c:pt>
                <c:pt idx="2">
                  <c:v>-977</c:v>
                </c:pt>
                <c:pt idx="3">
                  <c:v>16133</c:v>
                </c:pt>
                <c:pt idx="4">
                  <c:v>-1158</c:v>
                </c:pt>
                <c:pt idx="5">
                  <c:v>-8532</c:v>
                </c:pt>
                <c:pt idx="6">
                  <c:v>14914</c:v>
                </c:pt>
                <c:pt idx="7">
                  <c:v>85458</c:v>
                </c:pt>
                <c:pt idx="8">
                  <c:v>5513</c:v>
                </c:pt>
                <c:pt idx="9">
                  <c:v>188885</c:v>
                </c:pt>
                <c:pt idx="10">
                  <c:v>90623</c:v>
                </c:pt>
                <c:pt idx="11">
                  <c:v>12325</c:v>
                </c:pt>
                <c:pt idx="12">
                  <c:v>12325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FD-423F-BD14-CC5CC2EAA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00303"/>
        <c:axId val="1965938495"/>
      </c:lineChart>
      <c:catAx>
        <c:axId val="19647003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938495"/>
        <c:crosses val="autoZero"/>
        <c:auto val="1"/>
        <c:lblAlgn val="ctr"/>
        <c:lblOffset val="100"/>
        <c:noMultiLvlLbl val="0"/>
      </c:catAx>
      <c:valAx>
        <c:axId val="1965938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700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761999</xdr:colOff>
      <xdr:row>0</xdr:row>
      <xdr:rowOff>1</xdr:rowOff>
    </xdr:from>
    <xdr:to>
      <xdr:col>8</xdr:col>
      <xdr:colOff>19049</xdr:colOff>
      <xdr:row>4</xdr:row>
      <xdr:rowOff>55289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F5129C-92C2-74FA-40BD-9E9269943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774" y="1"/>
          <a:ext cx="2428875" cy="8934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9524</xdr:colOff>
      <xdr:row>1</xdr:row>
      <xdr:rowOff>142875</xdr:rowOff>
    </xdr:from>
    <xdr:to>
      <xdr:col>15</xdr:col>
      <xdr:colOff>495299</xdr:colOff>
      <xdr:row>4</xdr:row>
      <xdr:rowOff>179518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6B5C0E-E4B6-4073-A63D-677FCD914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74" y="333375"/>
          <a:ext cx="1704975" cy="627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28576</xdr:rowOff>
    </xdr:from>
    <xdr:to>
      <xdr:col>4</xdr:col>
      <xdr:colOff>190500</xdr:colOff>
      <xdr:row>18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4B6435-F2C2-B4F6-1725-B6569597E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257175</xdr:colOff>
      <xdr:row>9</xdr:row>
      <xdr:rowOff>19050</xdr:rowOff>
    </xdr:from>
    <xdr:to>
      <xdr:col>8</xdr:col>
      <xdr:colOff>333375</xdr:colOff>
      <xdr:row>18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60C457-B507-357D-BC03-39FC3BD49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457200</xdr:colOff>
      <xdr:row>9</xdr:row>
      <xdr:rowOff>28574</xdr:rowOff>
    </xdr:from>
    <xdr:to>
      <xdr:col>12</xdr:col>
      <xdr:colOff>285750</xdr:colOff>
      <xdr:row>18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EA6942-73F1-398B-C61B-754ABA01B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361950</xdr:colOff>
      <xdr:row>9</xdr:row>
      <xdr:rowOff>38100</xdr:rowOff>
    </xdr:from>
    <xdr:to>
      <xdr:col>16</xdr:col>
      <xdr:colOff>333375</xdr:colOff>
      <xdr:row>18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C09A72-FAB8-2A9A-ACF7-64641D163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6757-C012-4E90-AFD3-F2BF75C2D759}">
  <dimension ref="A3:H31"/>
  <sheetViews>
    <sheetView showGridLines="0" topLeftCell="A14" workbookViewId="0">
      <selection activeCell="A26" sqref="A26"/>
    </sheetView>
  </sheetViews>
  <sheetFormatPr defaultRowHeight="15" x14ac:dyDescent="0.25"/>
  <cols>
    <col min="1" max="1" width="28.28515625" customWidth="1"/>
    <col min="2" max="2" width="13.5703125" customWidth="1"/>
    <col min="3" max="3" width="13.85546875" customWidth="1"/>
    <col min="4" max="4" width="16.7109375" customWidth="1"/>
    <col min="5" max="5" width="15.140625" customWidth="1"/>
    <col min="6" max="6" width="8.7109375" customWidth="1"/>
    <col min="7" max="7" width="10.85546875" customWidth="1"/>
    <col min="8" max="8" width="12.85546875" customWidth="1"/>
    <col min="15" max="15" width="11.140625" bestFit="1" customWidth="1"/>
    <col min="17" max="17" width="9.5703125" bestFit="1" customWidth="1"/>
  </cols>
  <sheetData>
    <row r="3" spans="1:8" ht="21" x14ac:dyDescent="0.35">
      <c r="A3" s="32" t="s">
        <v>64</v>
      </c>
    </row>
    <row r="5" spans="1:8" x14ac:dyDescent="0.25">
      <c r="A5" s="23" t="s">
        <v>78</v>
      </c>
      <c r="B5" s="24"/>
      <c r="C5" s="24"/>
      <c r="D5" s="24"/>
      <c r="E5" s="24"/>
      <c r="F5" s="24"/>
      <c r="G5" s="24"/>
      <c r="H5" s="24"/>
    </row>
    <row r="6" spans="1:8" x14ac:dyDescent="0.25">
      <c r="A6" t="s">
        <v>65</v>
      </c>
      <c r="B6" t="s">
        <v>68</v>
      </c>
      <c r="C6" t="s">
        <v>71</v>
      </c>
      <c r="D6" t="s">
        <v>73</v>
      </c>
      <c r="E6" t="s">
        <v>72</v>
      </c>
      <c r="F6" t="s">
        <v>74</v>
      </c>
      <c r="G6" t="s">
        <v>75</v>
      </c>
      <c r="H6" t="s">
        <v>76</v>
      </c>
    </row>
    <row r="7" spans="1:8" x14ac:dyDescent="0.25">
      <c r="A7" t="s">
        <v>66</v>
      </c>
      <c r="B7" t="s">
        <v>69</v>
      </c>
      <c r="C7" s="1">
        <v>200000</v>
      </c>
      <c r="D7" s="1"/>
      <c r="E7" s="1">
        <v>200000</v>
      </c>
      <c r="F7" s="4">
        <v>0.2</v>
      </c>
      <c r="G7" s="3">
        <v>3</v>
      </c>
      <c r="H7" s="10">
        <f>E7*G7</f>
        <v>600000</v>
      </c>
    </row>
    <row r="8" spans="1:8" x14ac:dyDescent="0.25">
      <c r="A8" t="s">
        <v>67</v>
      </c>
      <c r="B8" t="s">
        <v>70</v>
      </c>
      <c r="C8" s="1">
        <v>310000</v>
      </c>
      <c r="D8" s="1"/>
      <c r="E8" s="1">
        <v>310000</v>
      </c>
      <c r="F8" s="4">
        <v>0.31</v>
      </c>
      <c r="G8" s="3">
        <v>3</v>
      </c>
      <c r="H8" s="10">
        <f>E8*G8</f>
        <v>930000</v>
      </c>
    </row>
    <row r="9" spans="1:8" x14ac:dyDescent="0.25">
      <c r="A9" t="s">
        <v>173</v>
      </c>
      <c r="B9" t="s">
        <v>172</v>
      </c>
      <c r="D9" s="1">
        <v>490000</v>
      </c>
      <c r="E9" s="1">
        <v>490000</v>
      </c>
      <c r="F9" s="4">
        <v>0.49</v>
      </c>
      <c r="G9" s="3">
        <v>3</v>
      </c>
      <c r="H9" s="10">
        <f>E9*G9</f>
        <v>1470000</v>
      </c>
    </row>
    <row r="10" spans="1:8" x14ac:dyDescent="0.25">
      <c r="A10" t="s">
        <v>11</v>
      </c>
      <c r="C10" s="1">
        <f t="shared" ref="C10:F10" si="0">SUM(C7:C9)</f>
        <v>510000</v>
      </c>
      <c r="D10" s="1">
        <f t="shared" si="0"/>
        <v>490000</v>
      </c>
      <c r="E10" s="1">
        <f t="shared" si="0"/>
        <v>1000000</v>
      </c>
      <c r="F10" s="4">
        <f t="shared" si="0"/>
        <v>1</v>
      </c>
      <c r="G10" s="1"/>
      <c r="H10" s="10">
        <v>3000000</v>
      </c>
    </row>
    <row r="12" spans="1:8" x14ac:dyDescent="0.25">
      <c r="A12" s="23" t="s">
        <v>77</v>
      </c>
      <c r="B12" s="24"/>
      <c r="C12" s="24"/>
      <c r="D12" s="24"/>
      <c r="E12" s="24"/>
      <c r="F12" s="24"/>
      <c r="G12" s="24"/>
      <c r="H12" s="24"/>
    </row>
    <row r="13" spans="1:8" x14ac:dyDescent="0.25">
      <c r="A13" t="s">
        <v>79</v>
      </c>
      <c r="B13" t="s">
        <v>174</v>
      </c>
      <c r="C13" t="s">
        <v>80</v>
      </c>
    </row>
    <row r="14" spans="1:8" x14ac:dyDescent="0.25">
      <c r="A14" t="s">
        <v>69</v>
      </c>
      <c r="B14" s="1">
        <v>200000</v>
      </c>
      <c r="C14" s="4">
        <v>0.2</v>
      </c>
    </row>
    <row r="15" spans="1:8" x14ac:dyDescent="0.25">
      <c r="A15" t="s">
        <v>81</v>
      </c>
      <c r="B15" s="1">
        <v>310000</v>
      </c>
      <c r="C15" s="4">
        <v>0.31</v>
      </c>
    </row>
    <row r="16" spans="1:8" x14ac:dyDescent="0.25">
      <c r="A16" t="s">
        <v>171</v>
      </c>
      <c r="B16" s="1">
        <v>490000</v>
      </c>
      <c r="C16" s="4">
        <v>0.49</v>
      </c>
    </row>
    <row r="17" spans="1:8" x14ac:dyDescent="0.25">
      <c r="A17" t="s">
        <v>11</v>
      </c>
      <c r="B17" s="1">
        <f>SUM(B14:B16)</f>
        <v>1000000</v>
      </c>
      <c r="C17" s="4">
        <f>SUM(C14:C16)</f>
        <v>1</v>
      </c>
    </row>
    <row r="18" spans="1:8" ht="15.75" thickBot="1" x14ac:dyDescent="0.3"/>
    <row r="19" spans="1:8" ht="15.75" thickBot="1" x14ac:dyDescent="0.3">
      <c r="A19" s="23" t="s">
        <v>142</v>
      </c>
      <c r="B19" s="24"/>
      <c r="C19" s="118"/>
      <c r="D19" s="119"/>
      <c r="E19" s="119"/>
      <c r="F19" s="119"/>
      <c r="G19" s="119"/>
      <c r="H19" s="120"/>
    </row>
    <row r="20" spans="1:8" x14ac:dyDescent="0.25">
      <c r="A20" s="29" t="s">
        <v>143</v>
      </c>
      <c r="B20" s="113">
        <v>505000</v>
      </c>
      <c r="C20" s="39"/>
      <c r="D20" s="116"/>
      <c r="H20" s="40"/>
    </row>
    <row r="21" spans="1:8" x14ac:dyDescent="0.25">
      <c r="A21" s="30" t="s">
        <v>144</v>
      </c>
      <c r="B21" s="114">
        <v>300000</v>
      </c>
      <c r="C21" s="39"/>
      <c r="D21" s="116"/>
      <c r="H21" s="40"/>
    </row>
    <row r="22" spans="1:8" x14ac:dyDescent="0.25">
      <c r="A22" s="30" t="s">
        <v>145</v>
      </c>
      <c r="B22" s="114">
        <v>60000</v>
      </c>
      <c r="C22" s="39"/>
      <c r="D22" s="14"/>
      <c r="H22" s="40"/>
    </row>
    <row r="23" spans="1:8" ht="15.75" thickBot="1" x14ac:dyDescent="0.3">
      <c r="A23" s="31" t="s">
        <v>146</v>
      </c>
      <c r="B23" s="115">
        <v>240000</v>
      </c>
      <c r="C23" s="36"/>
      <c r="D23" s="117"/>
      <c r="E23" s="21"/>
      <c r="F23" s="21"/>
      <c r="G23" s="21"/>
      <c r="H23" s="37"/>
    </row>
    <row r="24" spans="1:8" x14ac:dyDescent="0.25">
      <c r="B24" s="5"/>
    </row>
    <row r="25" spans="1:8" x14ac:dyDescent="0.25">
      <c r="A25" s="4" t="s">
        <v>176</v>
      </c>
      <c r="B25" s="5"/>
    </row>
    <row r="26" spans="1:8" x14ac:dyDescent="0.25">
      <c r="A26" s="4" t="s">
        <v>175</v>
      </c>
    </row>
    <row r="27" spans="1:8" x14ac:dyDescent="0.25">
      <c r="B27" s="6"/>
    </row>
    <row r="28" spans="1:8" x14ac:dyDescent="0.25">
      <c r="B28" s="7"/>
    </row>
    <row r="29" spans="1:8" x14ac:dyDescent="0.25">
      <c r="A29" s="1"/>
    </row>
    <row r="30" spans="1:8" x14ac:dyDescent="0.25">
      <c r="A30" s="1"/>
    </row>
    <row r="31" spans="1:8" x14ac:dyDescent="0.25">
      <c r="A31" s="4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EA9B-866A-4335-B647-C0ED617EC614}">
  <dimension ref="A1:P31"/>
  <sheetViews>
    <sheetView showGridLines="0" topLeftCell="A16" workbookViewId="0">
      <selection activeCell="H34" sqref="H34"/>
    </sheetView>
  </sheetViews>
  <sheetFormatPr defaultRowHeight="15" x14ac:dyDescent="0.25"/>
  <cols>
    <col min="2" max="2" width="12.7109375" customWidth="1"/>
    <col min="4" max="4" width="5.5703125" customWidth="1"/>
    <col min="5" max="5" width="11" customWidth="1"/>
    <col min="6" max="6" width="10.7109375" customWidth="1"/>
    <col min="7" max="7" width="6.5703125" customWidth="1"/>
    <col min="9" max="9" width="20.85546875" customWidth="1"/>
    <col min="11" max="11" width="12.5703125" customWidth="1"/>
    <col min="13" max="13" width="16.85546875" customWidth="1"/>
  </cols>
  <sheetData>
    <row r="1" spans="1:16" x14ac:dyDescent="0.25">
      <c r="A1" s="11" t="s">
        <v>124</v>
      </c>
    </row>
    <row r="2" spans="1:16" x14ac:dyDescent="0.25">
      <c r="A2" s="19" t="s">
        <v>125</v>
      </c>
    </row>
    <row r="3" spans="1:16" ht="15.75" thickBot="1" x14ac:dyDescent="0.3"/>
    <row r="4" spans="1:16" ht="15.75" thickBot="1" x14ac:dyDescent="0.3">
      <c r="A4" s="49" t="s">
        <v>147</v>
      </c>
      <c r="B4" s="50"/>
      <c r="C4" s="50"/>
      <c r="D4" s="50"/>
      <c r="E4" s="50"/>
      <c r="F4" s="51"/>
      <c r="H4" s="23" t="s">
        <v>148</v>
      </c>
      <c r="I4" s="24"/>
      <c r="J4" s="24"/>
      <c r="K4" s="24"/>
    </row>
    <row r="5" spans="1:16" ht="15.75" thickBot="1" x14ac:dyDescent="0.3">
      <c r="A5" s="29" t="s">
        <v>82</v>
      </c>
      <c r="B5" s="33"/>
      <c r="C5" s="33"/>
      <c r="D5" s="33"/>
      <c r="E5" s="33"/>
      <c r="F5" s="38">
        <v>100</v>
      </c>
      <c r="H5" s="87" t="s">
        <v>165</v>
      </c>
      <c r="I5" s="85"/>
      <c r="J5" s="85"/>
      <c r="K5" s="86"/>
    </row>
    <row r="6" spans="1:16" x14ac:dyDescent="0.25">
      <c r="A6" s="39" t="s">
        <v>83</v>
      </c>
      <c r="F6" s="40">
        <v>20</v>
      </c>
      <c r="H6" s="75" t="s">
        <v>156</v>
      </c>
      <c r="I6" s="33"/>
      <c r="J6" s="33"/>
      <c r="K6" s="38"/>
    </row>
    <row r="7" spans="1:16" ht="15.75" thickBot="1" x14ac:dyDescent="0.3">
      <c r="A7" s="39" t="s">
        <v>84</v>
      </c>
      <c r="F7" s="40">
        <v>1</v>
      </c>
      <c r="H7" s="43" t="s">
        <v>115</v>
      </c>
      <c r="K7" s="40" t="s">
        <v>96</v>
      </c>
      <c r="M7" s="23" t="s">
        <v>103</v>
      </c>
      <c r="N7" s="23"/>
      <c r="O7" s="23"/>
      <c r="P7" s="24"/>
    </row>
    <row r="8" spans="1:16" x14ac:dyDescent="0.25">
      <c r="A8" s="39" t="s">
        <v>85</v>
      </c>
      <c r="F8" s="41">
        <v>200000</v>
      </c>
      <c r="H8" s="39" t="s">
        <v>97</v>
      </c>
      <c r="K8" s="40">
        <f>7*12</f>
        <v>84</v>
      </c>
      <c r="M8" s="46" t="s">
        <v>123</v>
      </c>
      <c r="N8" s="33"/>
      <c r="O8" s="33"/>
      <c r="P8" s="38"/>
    </row>
    <row r="9" spans="1:16" x14ac:dyDescent="0.25">
      <c r="A9" s="39" t="s">
        <v>86</v>
      </c>
      <c r="F9" s="41">
        <v>400000</v>
      </c>
      <c r="H9" s="39" t="s">
        <v>98</v>
      </c>
      <c r="J9" s="4">
        <v>0.2</v>
      </c>
      <c r="K9" s="76">
        <f>K8*20%</f>
        <v>16.8</v>
      </c>
      <c r="M9" s="39"/>
      <c r="N9" t="s">
        <v>104</v>
      </c>
      <c r="O9" t="s">
        <v>105</v>
      </c>
      <c r="P9" s="40" t="s">
        <v>106</v>
      </c>
    </row>
    <row r="10" spans="1:16" x14ac:dyDescent="0.25">
      <c r="A10" s="39" t="s">
        <v>87</v>
      </c>
      <c r="F10" s="41">
        <v>50000</v>
      </c>
      <c r="H10" s="39" t="s">
        <v>99</v>
      </c>
      <c r="J10" s="1"/>
      <c r="K10" s="41">
        <v>50000</v>
      </c>
      <c r="M10" s="39" t="s">
        <v>108</v>
      </c>
      <c r="N10" t="s">
        <v>109</v>
      </c>
      <c r="O10" t="s">
        <v>110</v>
      </c>
      <c r="P10" s="40" t="s">
        <v>111</v>
      </c>
    </row>
    <row r="11" spans="1:16" ht="15.75" thickBot="1" x14ac:dyDescent="0.3">
      <c r="A11" s="39" t="s">
        <v>88</v>
      </c>
      <c r="F11" s="40">
        <f>F9/F10</f>
        <v>8</v>
      </c>
      <c r="H11" s="39" t="s">
        <v>100</v>
      </c>
      <c r="K11" s="41">
        <f>K9*K10</f>
        <v>840000</v>
      </c>
      <c r="M11" s="44" t="s">
        <v>51</v>
      </c>
      <c r="N11" s="25">
        <v>1000000</v>
      </c>
      <c r="O11" s="25">
        <v>1000000</v>
      </c>
      <c r="P11" s="45">
        <v>1000000</v>
      </c>
    </row>
    <row r="12" spans="1:16" ht="15.75" thickTop="1" x14ac:dyDescent="0.25">
      <c r="A12" s="39" t="s">
        <v>89</v>
      </c>
      <c r="F12" s="41">
        <v>20</v>
      </c>
      <c r="H12" s="39" t="s">
        <v>101</v>
      </c>
      <c r="J12" s="4">
        <v>0.01</v>
      </c>
      <c r="K12" s="41">
        <f>K11*J12</f>
        <v>8400</v>
      </c>
      <c r="M12" s="39" t="s">
        <v>157</v>
      </c>
      <c r="N12" s="1">
        <v>600000</v>
      </c>
      <c r="O12" s="1">
        <v>400000</v>
      </c>
      <c r="P12" s="41">
        <v>1000000</v>
      </c>
    </row>
    <row r="13" spans="1:16" x14ac:dyDescent="0.25">
      <c r="A13" s="39" t="s">
        <v>90</v>
      </c>
      <c r="F13" s="41">
        <v>8</v>
      </c>
      <c r="H13" s="39" t="s">
        <v>102</v>
      </c>
      <c r="J13" s="4">
        <v>0.03</v>
      </c>
      <c r="K13" s="40">
        <f>K11*3%</f>
        <v>25200</v>
      </c>
      <c r="M13" s="39" t="s">
        <v>158</v>
      </c>
      <c r="N13">
        <f>N12*5</f>
        <v>3000000</v>
      </c>
      <c r="O13">
        <f>O12*5</f>
        <v>2000000</v>
      </c>
      <c r="P13" s="40">
        <f>P12*5</f>
        <v>5000000</v>
      </c>
    </row>
    <row r="14" spans="1:16" ht="15.75" thickBot="1" x14ac:dyDescent="0.3">
      <c r="A14" s="39" t="s">
        <v>91</v>
      </c>
      <c r="F14" s="41">
        <v>160</v>
      </c>
      <c r="H14" s="44" t="s">
        <v>117</v>
      </c>
      <c r="I14" s="18"/>
      <c r="J14" s="18"/>
      <c r="K14" s="45">
        <f>SUM(K12:K13)</f>
        <v>33600</v>
      </c>
      <c r="M14" s="39" t="s">
        <v>38</v>
      </c>
      <c r="N14">
        <f>N13</f>
        <v>3000000</v>
      </c>
      <c r="O14">
        <f>O13</f>
        <v>2000000</v>
      </c>
      <c r="P14" s="40">
        <f>P13</f>
        <v>5000000</v>
      </c>
    </row>
    <row r="15" spans="1:16" ht="16.5" thickTop="1" thickBot="1" x14ac:dyDescent="0.3">
      <c r="A15" s="39" t="s">
        <v>87</v>
      </c>
      <c r="C15" s="1">
        <v>60000</v>
      </c>
      <c r="F15" s="41">
        <f>F14*C15</f>
        <v>9600000</v>
      </c>
      <c r="H15" s="36" t="s">
        <v>107</v>
      </c>
      <c r="I15" s="21"/>
      <c r="J15" s="21">
        <v>2</v>
      </c>
      <c r="K15" s="37">
        <f>K14/J15</f>
        <v>16800</v>
      </c>
      <c r="M15" s="44" t="s">
        <v>112</v>
      </c>
      <c r="N15" s="26">
        <f>N14/N11</f>
        <v>3</v>
      </c>
      <c r="O15" s="26">
        <f>O14/O11</f>
        <v>2</v>
      </c>
      <c r="P15" s="47">
        <f>P14/P11</f>
        <v>5</v>
      </c>
    </row>
    <row r="16" spans="1:16" ht="15.75" thickBot="1" x14ac:dyDescent="0.3">
      <c r="A16" s="39" t="s">
        <v>154</v>
      </c>
      <c r="D16" s="73">
        <v>0.05</v>
      </c>
      <c r="E16" s="73"/>
      <c r="F16" s="41">
        <f>F15*D16</f>
        <v>480000</v>
      </c>
      <c r="M16" s="39" t="s">
        <v>112</v>
      </c>
      <c r="N16" s="2">
        <v>3</v>
      </c>
      <c r="O16" s="2">
        <v>2</v>
      </c>
      <c r="P16" s="77">
        <v>5</v>
      </c>
    </row>
    <row r="17" spans="1:16" ht="15.75" thickBot="1" x14ac:dyDescent="0.3">
      <c r="A17" s="39" t="s">
        <v>155</v>
      </c>
      <c r="E17" s="74">
        <v>0.5</v>
      </c>
      <c r="F17" s="40">
        <f>F16/2</f>
        <v>240000</v>
      </c>
      <c r="H17" s="49" t="s">
        <v>159</v>
      </c>
      <c r="I17" s="50"/>
      <c r="J17" s="50"/>
      <c r="K17" s="51"/>
      <c r="M17" s="39" t="s">
        <v>113</v>
      </c>
      <c r="N17">
        <v>8000</v>
      </c>
      <c r="O17">
        <v>8000</v>
      </c>
      <c r="P17" s="40">
        <v>8000</v>
      </c>
    </row>
    <row r="18" spans="1:16" ht="15.75" thickBot="1" x14ac:dyDescent="0.3">
      <c r="A18" s="39" t="s">
        <v>93</v>
      </c>
      <c r="D18" s="73">
        <v>0.03</v>
      </c>
      <c r="E18" s="73" t="s">
        <v>92</v>
      </c>
      <c r="F18" s="41">
        <f>F15*3%</f>
        <v>288000</v>
      </c>
      <c r="H18" s="29" t="s">
        <v>160</v>
      </c>
      <c r="I18" s="33"/>
      <c r="J18" s="78">
        <v>80000</v>
      </c>
      <c r="K18" s="79">
        <f>J18*12</f>
        <v>960000</v>
      </c>
      <c r="M18" s="44" t="s">
        <v>114</v>
      </c>
      <c r="N18" s="18">
        <f>N16*N17</f>
        <v>24000</v>
      </c>
      <c r="O18" s="18">
        <f>O16*O17</f>
        <v>16000</v>
      </c>
      <c r="P18" s="48">
        <f>P16*P17</f>
        <v>40000</v>
      </c>
    </row>
    <row r="19" spans="1:16" ht="16.5" thickTop="1" thickBot="1" x14ac:dyDescent="0.3">
      <c r="A19" s="39" t="s">
        <v>94</v>
      </c>
      <c r="D19" s="73"/>
      <c r="E19" s="73"/>
      <c r="F19" s="41">
        <v>3000000</v>
      </c>
      <c r="H19" s="39" t="s">
        <v>162</v>
      </c>
      <c r="J19" s="4">
        <v>7.0000000000000007E-2</v>
      </c>
      <c r="K19" s="40">
        <f>K18*J19</f>
        <v>67200</v>
      </c>
      <c r="M19" s="36"/>
      <c r="N19" s="21"/>
      <c r="O19" s="21"/>
      <c r="P19" s="37"/>
    </row>
    <row r="20" spans="1:16" x14ac:dyDescent="0.25">
      <c r="A20" s="39" t="s">
        <v>95</v>
      </c>
      <c r="D20" s="73"/>
      <c r="E20" s="73"/>
      <c r="F20" s="42">
        <f>F18/F19</f>
        <v>9.6000000000000002E-2</v>
      </c>
      <c r="H20" s="39" t="s">
        <v>161</v>
      </c>
      <c r="J20" s="4">
        <v>0.5</v>
      </c>
      <c r="K20" s="40">
        <f>K19/2</f>
        <v>33600</v>
      </c>
    </row>
    <row r="21" spans="1:16" x14ac:dyDescent="0.25">
      <c r="A21" s="39" t="s">
        <v>153</v>
      </c>
      <c r="F21" s="40"/>
      <c r="H21" s="39" t="s">
        <v>116</v>
      </c>
      <c r="J21" s="4">
        <v>0.03</v>
      </c>
      <c r="K21" s="40">
        <f>K18*3%</f>
        <v>28800</v>
      </c>
    </row>
    <row r="22" spans="1:16" ht="15.75" thickBot="1" x14ac:dyDescent="0.3">
      <c r="A22" s="36" t="s">
        <v>10</v>
      </c>
      <c r="B22" s="21"/>
      <c r="C22" s="21">
        <v>20</v>
      </c>
      <c r="D22" s="21"/>
      <c r="E22" s="21"/>
      <c r="F22" s="37"/>
      <c r="H22" s="80" t="s">
        <v>117</v>
      </c>
      <c r="I22" s="81"/>
      <c r="J22" s="81"/>
      <c r="K22" s="82">
        <f>K20+K21</f>
        <v>62400</v>
      </c>
    </row>
    <row r="23" spans="1:16" ht="15.75" thickBot="1" x14ac:dyDescent="0.3"/>
    <row r="24" spans="1:16" x14ac:dyDescent="0.25">
      <c r="H24" s="49" t="s">
        <v>118</v>
      </c>
      <c r="I24" s="50"/>
      <c r="J24" s="50"/>
      <c r="K24" s="51"/>
    </row>
    <row r="25" spans="1:16" x14ac:dyDescent="0.25">
      <c r="H25" s="39" t="s">
        <v>121</v>
      </c>
      <c r="K25" s="41">
        <v>4800000</v>
      </c>
    </row>
    <row r="26" spans="1:16" x14ac:dyDescent="0.25">
      <c r="H26" s="39" t="s">
        <v>119</v>
      </c>
      <c r="J26" s="4">
        <v>7.0000000000000007E-2</v>
      </c>
      <c r="K26" s="40">
        <f>K25*J26</f>
        <v>336000.00000000006</v>
      </c>
    </row>
    <row r="27" spans="1:16" x14ac:dyDescent="0.25">
      <c r="H27" s="39" t="s">
        <v>120</v>
      </c>
      <c r="K27" s="40">
        <f>K26*70%</f>
        <v>235200.00000000003</v>
      </c>
    </row>
    <row r="28" spans="1:16" x14ac:dyDescent="0.25">
      <c r="H28" s="39" t="s">
        <v>116</v>
      </c>
      <c r="J28" s="4">
        <v>0.03</v>
      </c>
      <c r="K28" s="40">
        <f>K25*J28</f>
        <v>144000</v>
      </c>
    </row>
    <row r="29" spans="1:16" x14ac:dyDescent="0.25">
      <c r="H29" s="39" t="s">
        <v>163</v>
      </c>
      <c r="J29" t="s">
        <v>122</v>
      </c>
      <c r="K29" s="41">
        <v>15000</v>
      </c>
    </row>
    <row r="30" spans="1:16" ht="15.75" thickBot="1" x14ac:dyDescent="0.3">
      <c r="H30" s="80" t="s">
        <v>117</v>
      </c>
      <c r="I30" s="81"/>
      <c r="J30" s="81"/>
      <c r="K30" s="83">
        <f>K27+K28+K29</f>
        <v>394200</v>
      </c>
    </row>
    <row r="31" spans="1:16" ht="15.75" thickBot="1" x14ac:dyDescent="0.3">
      <c r="H31" s="84" t="s">
        <v>164</v>
      </c>
      <c r="I31" s="85"/>
      <c r="J31" s="85"/>
      <c r="K31" s="86">
        <f>K26-K27</f>
        <v>100800.00000000003</v>
      </c>
    </row>
  </sheetData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A68A6-57EA-4A66-875F-A865A41FADE0}">
  <dimension ref="B2:L16"/>
  <sheetViews>
    <sheetView showGridLines="0" tabSelected="1" workbookViewId="0">
      <selection activeCell="K5" sqref="K5"/>
    </sheetView>
  </sheetViews>
  <sheetFormatPr defaultRowHeight="15" x14ac:dyDescent="0.25"/>
  <cols>
    <col min="5" max="5" width="20.140625" customWidth="1"/>
    <col min="9" max="9" width="11.5703125" bestFit="1" customWidth="1"/>
    <col min="12" max="12" width="11.5703125" bestFit="1" customWidth="1"/>
  </cols>
  <sheetData>
    <row r="2" spans="2:12" ht="15.75" thickBot="1" x14ac:dyDescent="0.3"/>
    <row r="3" spans="2:12" x14ac:dyDescent="0.25">
      <c r="B3" s="29" t="s">
        <v>126</v>
      </c>
      <c r="C3" s="33"/>
      <c r="D3" s="33"/>
      <c r="E3" s="34">
        <v>2000</v>
      </c>
      <c r="F3" s="33"/>
      <c r="G3" s="33"/>
      <c r="H3" s="33" t="s">
        <v>132</v>
      </c>
      <c r="I3" s="34">
        <v>50000</v>
      </c>
      <c r="J3" s="33"/>
      <c r="K3" s="33" t="s">
        <v>132</v>
      </c>
      <c r="L3" s="35">
        <v>80000</v>
      </c>
    </row>
    <row r="4" spans="2:12" ht="15.75" thickBot="1" x14ac:dyDescent="0.3">
      <c r="B4" s="36" t="s">
        <v>141</v>
      </c>
      <c r="C4" s="21"/>
      <c r="D4" s="21"/>
      <c r="E4" s="21"/>
      <c r="F4" s="21"/>
      <c r="G4" s="21"/>
      <c r="H4" s="21"/>
      <c r="I4" s="21">
        <f>I3/E3</f>
        <v>25</v>
      </c>
      <c r="J4" s="21"/>
      <c r="K4" s="21"/>
      <c r="L4" s="37">
        <f>L3/E3</f>
        <v>40</v>
      </c>
    </row>
    <row r="6" spans="2:12" x14ac:dyDescent="0.25">
      <c r="B6" t="s">
        <v>127</v>
      </c>
      <c r="F6">
        <v>2000</v>
      </c>
      <c r="I6" s="1">
        <v>50000</v>
      </c>
      <c r="L6" s="1">
        <v>80000</v>
      </c>
    </row>
    <row r="7" spans="2:12" x14ac:dyDescent="0.25">
      <c r="B7" t="s">
        <v>128</v>
      </c>
      <c r="F7" s="4">
        <v>0.17</v>
      </c>
      <c r="G7" s="4"/>
      <c r="I7" s="4">
        <v>0.17</v>
      </c>
      <c r="L7" s="4">
        <v>0.17</v>
      </c>
    </row>
    <row r="8" spans="2:12" x14ac:dyDescent="0.25">
      <c r="B8" t="s">
        <v>129</v>
      </c>
      <c r="F8">
        <f>F6*F7</f>
        <v>340</v>
      </c>
      <c r="I8">
        <f>I6*I7</f>
        <v>8500</v>
      </c>
      <c r="L8">
        <f>L6*L7</f>
        <v>13600.000000000002</v>
      </c>
    </row>
    <row r="9" spans="2:12" x14ac:dyDescent="0.25">
      <c r="B9" t="s">
        <v>130</v>
      </c>
      <c r="F9">
        <f>F6+F8</f>
        <v>2340</v>
      </c>
      <c r="I9">
        <f>I6+I8</f>
        <v>58500</v>
      </c>
      <c r="L9">
        <f>L6+L8</f>
        <v>93600</v>
      </c>
    </row>
    <row r="10" spans="2:12" ht="15.75" thickBot="1" x14ac:dyDescent="0.3">
      <c r="B10" s="18" t="s">
        <v>131</v>
      </c>
      <c r="C10" s="18"/>
      <c r="D10" s="18"/>
      <c r="E10" s="28" t="s">
        <v>139</v>
      </c>
      <c r="F10" s="27">
        <f>F9/12</f>
        <v>195</v>
      </c>
      <c r="G10" s="27"/>
      <c r="H10" s="18"/>
      <c r="I10" s="27">
        <f>I9/12</f>
        <v>4875</v>
      </c>
      <c r="J10" s="18"/>
      <c r="K10" s="18"/>
      <c r="L10" s="27">
        <f>L9/12</f>
        <v>7800</v>
      </c>
    </row>
    <row r="11" spans="2:12" ht="15.75" thickTop="1" x14ac:dyDescent="0.25">
      <c r="B11" t="s">
        <v>133</v>
      </c>
      <c r="F11" s="6">
        <f>F8/12</f>
        <v>28.333333333333332</v>
      </c>
      <c r="G11" s="6"/>
      <c r="I11" s="6">
        <f>I8/12</f>
        <v>708.33333333333337</v>
      </c>
      <c r="L11" s="6">
        <f>L8/12</f>
        <v>1133.3333333333335</v>
      </c>
    </row>
    <row r="12" spans="2:12" x14ac:dyDescent="0.25">
      <c r="B12" t="s">
        <v>134</v>
      </c>
      <c r="E12">
        <v>1000</v>
      </c>
      <c r="F12" s="6">
        <f>E12/12</f>
        <v>83.333333333333329</v>
      </c>
      <c r="G12" s="6"/>
      <c r="H12">
        <v>25000</v>
      </c>
      <c r="I12" s="6">
        <f>H12/12</f>
        <v>2083.3333333333335</v>
      </c>
      <c r="K12">
        <v>25000</v>
      </c>
      <c r="L12" s="6">
        <f>K12/12</f>
        <v>2083.3333333333335</v>
      </c>
    </row>
    <row r="13" spans="2:12" ht="15.75" thickBot="1" x14ac:dyDescent="0.3">
      <c r="B13" s="88" t="s">
        <v>135</v>
      </c>
      <c r="C13" s="88"/>
      <c r="D13" s="88"/>
      <c r="E13" s="89" t="s">
        <v>140</v>
      </c>
      <c r="F13" s="90">
        <f>SUM(F11:F12)</f>
        <v>111.66666666666666</v>
      </c>
      <c r="G13" s="90"/>
      <c r="H13" s="88"/>
      <c r="I13" s="90">
        <f>SUM(I11:I12)</f>
        <v>2791.666666666667</v>
      </c>
      <c r="J13" s="88"/>
      <c r="K13" s="88"/>
      <c r="L13" s="90">
        <f>SUM(L11:L12)</f>
        <v>3216.666666666667</v>
      </c>
    </row>
    <row r="14" spans="2:12" ht="16.5" thickTop="1" thickBot="1" x14ac:dyDescent="0.3">
      <c r="B14" s="21" t="s">
        <v>136</v>
      </c>
      <c r="C14" s="21"/>
      <c r="D14" s="21"/>
      <c r="E14" s="21"/>
      <c r="F14" s="21">
        <f>F13*12</f>
        <v>1340</v>
      </c>
      <c r="G14" s="21"/>
      <c r="H14" s="21"/>
      <c r="I14" s="21">
        <f>I13*12</f>
        <v>33500</v>
      </c>
      <c r="J14" s="21"/>
      <c r="K14" s="21"/>
      <c r="L14" s="21">
        <f>L13*12</f>
        <v>38600</v>
      </c>
    </row>
    <row r="15" spans="2:12" x14ac:dyDescent="0.25">
      <c r="B15" t="s">
        <v>138</v>
      </c>
      <c r="F15">
        <f>F9-F14</f>
        <v>1000</v>
      </c>
      <c r="I15">
        <f>I9-I14</f>
        <v>25000</v>
      </c>
      <c r="L15">
        <f>L9-L14</f>
        <v>55000</v>
      </c>
    </row>
    <row r="16" spans="2:12" x14ac:dyDescent="0.25">
      <c r="B16" t="s">
        <v>137</v>
      </c>
      <c r="F16">
        <v>1000</v>
      </c>
      <c r="I16">
        <v>25000</v>
      </c>
      <c r="L16">
        <v>55000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03C1-D7D1-441C-9DBD-F919EFF7C6EC}">
  <dimension ref="B2:Q10"/>
  <sheetViews>
    <sheetView showGridLines="0" workbookViewId="0"/>
  </sheetViews>
  <sheetFormatPr defaultRowHeight="15" x14ac:dyDescent="0.25"/>
  <cols>
    <col min="1" max="1" width="1.7109375" customWidth="1"/>
    <col min="2" max="2" width="22.5703125" customWidth="1"/>
    <col min="3" max="3" width="10" bestFit="1" customWidth="1"/>
    <col min="4" max="12" width="11.5703125" bestFit="1" customWidth="1"/>
    <col min="13" max="15" width="12.5703125" bestFit="1" customWidth="1"/>
    <col min="16" max="16" width="13.140625" customWidth="1"/>
    <col min="17" max="17" width="13" customWidth="1"/>
  </cols>
  <sheetData>
    <row r="2" spans="2:17" ht="21" x14ac:dyDescent="0.35">
      <c r="G2" s="61" t="s">
        <v>151</v>
      </c>
      <c r="I2" s="60"/>
    </row>
    <row r="3" spans="2:17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2:17" x14ac:dyDescent="0.25">
      <c r="B4" s="52"/>
      <c r="C4" s="52">
        <v>2012</v>
      </c>
      <c r="D4" s="52">
        <v>2013</v>
      </c>
      <c r="E4" s="52">
        <v>2014</v>
      </c>
      <c r="F4" s="52">
        <v>2015</v>
      </c>
      <c r="G4" s="52">
        <v>2016</v>
      </c>
      <c r="H4" s="52">
        <v>2017</v>
      </c>
      <c r="I4" s="52">
        <v>2018</v>
      </c>
      <c r="J4" s="52">
        <v>2019</v>
      </c>
      <c r="K4" s="52">
        <v>2020</v>
      </c>
      <c r="L4" s="52">
        <v>2021</v>
      </c>
      <c r="M4" s="52">
        <v>2022</v>
      </c>
      <c r="N4" s="52">
        <v>2023</v>
      </c>
      <c r="O4" s="52">
        <v>2024</v>
      </c>
      <c r="P4" s="23" t="s">
        <v>11</v>
      </c>
      <c r="Q4" s="23" t="s">
        <v>15</v>
      </c>
    </row>
    <row r="5" spans="2:17" x14ac:dyDescent="0.25">
      <c r="B5" s="9" t="s">
        <v>150</v>
      </c>
      <c r="C5" s="62">
        <v>550010</v>
      </c>
      <c r="D5" s="62">
        <v>1550010</v>
      </c>
      <c r="E5" s="62">
        <v>2550010</v>
      </c>
      <c r="F5" s="62">
        <v>2420110</v>
      </c>
      <c r="G5" s="62">
        <v>2950010</v>
      </c>
      <c r="H5" s="62">
        <v>3150010</v>
      </c>
      <c r="I5" s="62">
        <v>4199018</v>
      </c>
      <c r="J5" s="62">
        <v>5909019</v>
      </c>
      <c r="K5" s="62">
        <v>1792520</v>
      </c>
      <c r="L5" s="62">
        <v>5664021</v>
      </c>
      <c r="M5" s="62">
        <v>26464381</v>
      </c>
      <c r="N5" s="62">
        <v>19377116</v>
      </c>
      <c r="O5" s="62">
        <v>9013500</v>
      </c>
      <c r="P5" s="15">
        <f>SUM(C5:O5)</f>
        <v>85589735</v>
      </c>
      <c r="Q5" s="15">
        <f>P5/12</f>
        <v>7132477.916666667</v>
      </c>
    </row>
    <row r="6" spans="2:17" x14ac:dyDescent="0.25">
      <c r="B6" s="9" t="s">
        <v>152</v>
      </c>
      <c r="C6" s="13">
        <v>28641</v>
      </c>
      <c r="D6" s="13">
        <v>106037</v>
      </c>
      <c r="E6" s="13">
        <v>134864</v>
      </c>
      <c r="F6" s="13">
        <v>172490</v>
      </c>
      <c r="G6" s="13">
        <v>182500</v>
      </c>
      <c r="H6" s="13">
        <v>245000</v>
      </c>
      <c r="I6" s="13">
        <v>316163</v>
      </c>
      <c r="J6" s="13">
        <v>342514</v>
      </c>
      <c r="K6" s="13">
        <v>215334</v>
      </c>
      <c r="L6" s="13">
        <v>660813</v>
      </c>
      <c r="M6" s="13">
        <v>634850</v>
      </c>
      <c r="N6" s="13">
        <v>358749</v>
      </c>
      <c r="O6" s="13">
        <v>610000</v>
      </c>
      <c r="P6" s="15">
        <f>SUM(C6:O6)</f>
        <v>4007955</v>
      </c>
      <c r="Q6" s="14">
        <f>P6/12</f>
        <v>333996.25</v>
      </c>
    </row>
    <row r="7" spans="2:17" x14ac:dyDescent="0.25">
      <c r="B7" s="9" t="s">
        <v>13</v>
      </c>
      <c r="C7" s="15">
        <f t="shared" ref="C7:O7" si="0">C6-C8</f>
        <v>28269</v>
      </c>
      <c r="D7" s="15">
        <f t="shared" si="0"/>
        <v>91645</v>
      </c>
      <c r="E7" s="15">
        <f t="shared" si="0"/>
        <v>135841</v>
      </c>
      <c r="F7" s="15">
        <f t="shared" si="0"/>
        <v>156357</v>
      </c>
      <c r="G7" s="15">
        <f t="shared" si="0"/>
        <v>183658</v>
      </c>
      <c r="H7" s="15">
        <f t="shared" si="0"/>
        <v>253532</v>
      </c>
      <c r="I7" s="15">
        <f t="shared" si="0"/>
        <v>301249</v>
      </c>
      <c r="J7" s="15">
        <f t="shared" si="0"/>
        <v>257056</v>
      </c>
      <c r="K7" s="15">
        <f t="shared" si="0"/>
        <v>209821</v>
      </c>
      <c r="L7" s="15">
        <f t="shared" si="0"/>
        <v>471928</v>
      </c>
      <c r="M7" s="15">
        <f t="shared" si="0"/>
        <v>544227</v>
      </c>
      <c r="N7" s="15">
        <f t="shared" si="0"/>
        <v>346424</v>
      </c>
      <c r="O7" s="15">
        <f t="shared" si="0"/>
        <v>597675</v>
      </c>
      <c r="P7" s="15">
        <f>SUM(C7:O7)</f>
        <v>3577682</v>
      </c>
      <c r="Q7" s="14">
        <f>P7/12</f>
        <v>298140.16666666669</v>
      </c>
    </row>
    <row r="8" spans="2:17" ht="15.75" thickBot="1" x14ac:dyDescent="0.3">
      <c r="B8" s="53" t="s">
        <v>12</v>
      </c>
      <c r="C8" s="54">
        <v>372</v>
      </c>
      <c r="D8" s="54">
        <v>14392</v>
      </c>
      <c r="E8" s="54">
        <v>-977</v>
      </c>
      <c r="F8" s="54">
        <v>16133</v>
      </c>
      <c r="G8" s="54">
        <v>-1158</v>
      </c>
      <c r="H8" s="54">
        <v>-8532</v>
      </c>
      <c r="I8" s="54">
        <v>14914</v>
      </c>
      <c r="J8" s="54">
        <v>85458</v>
      </c>
      <c r="K8" s="54">
        <v>5513</v>
      </c>
      <c r="L8" s="54">
        <v>188885</v>
      </c>
      <c r="M8" s="55">
        <v>90623</v>
      </c>
      <c r="N8" s="55">
        <v>12325</v>
      </c>
      <c r="O8" s="55">
        <v>12325</v>
      </c>
      <c r="P8" s="55">
        <f>SUM(C8:O8)</f>
        <v>430273</v>
      </c>
      <c r="Q8" s="56">
        <f>P8/12</f>
        <v>35856.083333333336</v>
      </c>
    </row>
    <row r="9" spans="2:17" ht="15.75" thickTop="1" x14ac:dyDescent="0.25"/>
    <row r="10" spans="2:17" x14ac:dyDescent="0.25">
      <c r="M10" s="1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BD39D-1643-4514-94E4-938D36B91892}">
  <dimension ref="B2:Q27"/>
  <sheetViews>
    <sheetView topLeftCell="A12" workbookViewId="0">
      <selection activeCell="H30" sqref="H30"/>
    </sheetView>
  </sheetViews>
  <sheetFormatPr defaultRowHeight="15" x14ac:dyDescent="0.25"/>
  <cols>
    <col min="1" max="1" width="5.42578125" customWidth="1"/>
    <col min="2" max="2" width="13.28515625" bestFit="1" customWidth="1"/>
    <col min="3" max="3" width="9.5703125" bestFit="1" customWidth="1"/>
    <col min="4" max="6" width="11" bestFit="1" customWidth="1"/>
    <col min="7" max="7" width="11.7109375" bestFit="1" customWidth="1"/>
    <col min="8" max="8" width="11.28515625" customWidth="1"/>
    <col min="9" max="9" width="12.7109375" bestFit="1" customWidth="1"/>
    <col min="10" max="10" width="12.85546875" customWidth="1"/>
    <col min="11" max="11" width="12.7109375" bestFit="1" customWidth="1"/>
    <col min="12" max="12" width="11.7109375" bestFit="1" customWidth="1"/>
    <col min="13" max="14" width="12" bestFit="1" customWidth="1"/>
    <col min="15" max="15" width="11" bestFit="1" customWidth="1"/>
    <col min="16" max="16" width="12" bestFit="1" customWidth="1"/>
    <col min="17" max="17" width="12.7109375" bestFit="1" customWidth="1"/>
  </cols>
  <sheetData>
    <row r="2" spans="2:17" ht="18.75" x14ac:dyDescent="0.3">
      <c r="E2" s="24"/>
      <c r="F2" s="24"/>
      <c r="G2" s="24"/>
      <c r="H2" s="57" t="s">
        <v>14</v>
      </c>
      <c r="I2" s="24"/>
      <c r="J2" s="24"/>
      <c r="K2" s="24"/>
      <c r="L2" s="24"/>
      <c r="M2" s="24"/>
    </row>
    <row r="4" spans="2:17" x14ac:dyDescent="0.25">
      <c r="B4" s="63"/>
      <c r="C4" s="63">
        <v>2012</v>
      </c>
      <c r="D4" s="63">
        <v>2013</v>
      </c>
      <c r="E4" s="63">
        <v>2014</v>
      </c>
      <c r="F4" s="63">
        <v>2015</v>
      </c>
      <c r="G4" s="63">
        <v>2016</v>
      </c>
      <c r="H4" s="63">
        <v>2017</v>
      </c>
      <c r="I4" s="63">
        <v>2018</v>
      </c>
      <c r="J4" s="63">
        <v>2019</v>
      </c>
      <c r="K4" s="63">
        <v>2020</v>
      </c>
      <c r="L4" s="63">
        <v>2021</v>
      </c>
      <c r="M4" s="63">
        <v>2022</v>
      </c>
      <c r="N4" s="63">
        <v>2023</v>
      </c>
      <c r="O4" s="63">
        <v>2024</v>
      </c>
      <c r="P4" s="64" t="s">
        <v>11</v>
      </c>
      <c r="Q4" s="64" t="s">
        <v>15</v>
      </c>
    </row>
    <row r="5" spans="2:17" x14ac:dyDescent="0.25">
      <c r="B5" s="65" t="s">
        <v>150</v>
      </c>
      <c r="C5" s="66">
        <v>550010</v>
      </c>
      <c r="D5" s="66">
        <v>1550010</v>
      </c>
      <c r="E5" s="66">
        <v>2550010</v>
      </c>
      <c r="F5" s="66">
        <v>2420110</v>
      </c>
      <c r="G5" s="66">
        <v>2950010</v>
      </c>
      <c r="H5" s="66">
        <v>3150010</v>
      </c>
      <c r="I5" s="66">
        <v>4199018</v>
      </c>
      <c r="J5" s="66">
        <v>5909019</v>
      </c>
      <c r="K5" s="66">
        <v>1792520</v>
      </c>
      <c r="L5" s="66">
        <v>5664021</v>
      </c>
      <c r="M5" s="66">
        <v>26464381</v>
      </c>
      <c r="N5" s="66">
        <v>19377116</v>
      </c>
      <c r="O5" s="66">
        <v>9013500</v>
      </c>
      <c r="P5" s="67">
        <f>SUM(C5:O5)</f>
        <v>85589735</v>
      </c>
      <c r="Q5" s="67">
        <f>P5/12</f>
        <v>7132477.916666667</v>
      </c>
    </row>
    <row r="6" spans="2:17" x14ac:dyDescent="0.25">
      <c r="B6" s="65" t="s">
        <v>152</v>
      </c>
      <c r="C6" s="66">
        <v>28641</v>
      </c>
      <c r="D6" s="66">
        <v>106037</v>
      </c>
      <c r="E6" s="66">
        <v>134864</v>
      </c>
      <c r="F6" s="66">
        <v>172490</v>
      </c>
      <c r="G6" s="66">
        <v>182500</v>
      </c>
      <c r="H6" s="66">
        <v>245000</v>
      </c>
      <c r="I6" s="66">
        <v>316163</v>
      </c>
      <c r="J6" s="66">
        <v>342514</v>
      </c>
      <c r="K6" s="66">
        <v>215334</v>
      </c>
      <c r="L6" s="66">
        <v>660813</v>
      </c>
      <c r="M6" s="66">
        <v>634850</v>
      </c>
      <c r="N6" s="66">
        <v>358749</v>
      </c>
      <c r="O6" s="66">
        <v>610000</v>
      </c>
      <c r="P6" s="67">
        <f>SUM(C6:O6)</f>
        <v>4007955</v>
      </c>
      <c r="Q6" s="68">
        <f>P6/12</f>
        <v>333996.25</v>
      </c>
    </row>
    <row r="7" spans="2:17" x14ac:dyDescent="0.25">
      <c r="B7" s="65" t="s">
        <v>13</v>
      </c>
      <c r="C7" s="67">
        <f t="shared" ref="C7:O7" si="0">C6-C8</f>
        <v>28269</v>
      </c>
      <c r="D7" s="67">
        <f t="shared" si="0"/>
        <v>91645</v>
      </c>
      <c r="E7" s="67">
        <f t="shared" si="0"/>
        <v>135841</v>
      </c>
      <c r="F7" s="67">
        <f t="shared" si="0"/>
        <v>156357</v>
      </c>
      <c r="G7" s="67">
        <f t="shared" si="0"/>
        <v>183658</v>
      </c>
      <c r="H7" s="67">
        <f t="shared" si="0"/>
        <v>253532</v>
      </c>
      <c r="I7" s="67">
        <f t="shared" si="0"/>
        <v>301249</v>
      </c>
      <c r="J7" s="67">
        <f t="shared" si="0"/>
        <v>257056</v>
      </c>
      <c r="K7" s="67">
        <f t="shared" si="0"/>
        <v>209821</v>
      </c>
      <c r="L7" s="67">
        <f t="shared" si="0"/>
        <v>471928</v>
      </c>
      <c r="M7" s="67">
        <f t="shared" si="0"/>
        <v>544227</v>
      </c>
      <c r="N7" s="67">
        <f t="shared" si="0"/>
        <v>346424</v>
      </c>
      <c r="O7" s="67">
        <f t="shared" si="0"/>
        <v>597675</v>
      </c>
      <c r="P7" s="67">
        <f>SUM(C7:O7)</f>
        <v>3577682</v>
      </c>
      <c r="Q7" s="68">
        <f>P7/12</f>
        <v>298140.16666666669</v>
      </c>
    </row>
    <row r="8" spans="2:17" ht="15.75" thickBot="1" x14ac:dyDescent="0.3">
      <c r="B8" s="69" t="s">
        <v>12</v>
      </c>
      <c r="C8" s="70">
        <v>372</v>
      </c>
      <c r="D8" s="70">
        <v>14392</v>
      </c>
      <c r="E8" s="70">
        <v>-977</v>
      </c>
      <c r="F8" s="70">
        <v>16133</v>
      </c>
      <c r="G8" s="70">
        <v>-1158</v>
      </c>
      <c r="H8" s="70">
        <v>-8532</v>
      </c>
      <c r="I8" s="70">
        <v>14914</v>
      </c>
      <c r="J8" s="70">
        <v>85458</v>
      </c>
      <c r="K8" s="70">
        <v>5513</v>
      </c>
      <c r="L8" s="70">
        <v>188885</v>
      </c>
      <c r="M8" s="71">
        <v>90623</v>
      </c>
      <c r="N8" s="71">
        <v>12325</v>
      </c>
      <c r="O8" s="71">
        <v>12325</v>
      </c>
      <c r="P8" s="71">
        <f>SUM(C8:O8)</f>
        <v>430273</v>
      </c>
      <c r="Q8" s="72">
        <f>P8/12</f>
        <v>35856.083333333336</v>
      </c>
    </row>
    <row r="9" spans="2:17" ht="15.75" thickTop="1" x14ac:dyDescent="0.25"/>
    <row r="10" spans="2:17" ht="18.75" x14ac:dyDescent="0.3">
      <c r="E10" s="24"/>
      <c r="F10" s="24"/>
      <c r="G10" s="24"/>
      <c r="H10" s="57" t="s">
        <v>19</v>
      </c>
      <c r="I10" s="24"/>
      <c r="J10" s="24"/>
      <c r="K10" s="24"/>
      <c r="L10" s="24"/>
      <c r="M10" s="24"/>
    </row>
    <row r="12" spans="2:17" x14ac:dyDescent="0.25">
      <c r="E12" s="12">
        <v>2020</v>
      </c>
      <c r="F12" s="12">
        <v>2021</v>
      </c>
      <c r="G12" s="12">
        <v>2022</v>
      </c>
      <c r="H12" s="12">
        <v>2023</v>
      </c>
      <c r="I12" s="12">
        <v>2024</v>
      </c>
      <c r="J12" s="11" t="s">
        <v>11</v>
      </c>
      <c r="K12" s="11" t="s">
        <v>15</v>
      </c>
      <c r="L12" s="11" t="s">
        <v>16</v>
      </c>
      <c r="M12" s="11" t="s">
        <v>18</v>
      </c>
    </row>
    <row r="13" spans="2:17" x14ac:dyDescent="0.25">
      <c r="E13" s="13">
        <v>215334</v>
      </c>
      <c r="F13" s="13">
        <v>660813</v>
      </c>
      <c r="G13" s="13">
        <v>634850</v>
      </c>
      <c r="H13" s="13">
        <v>358749</v>
      </c>
      <c r="I13" s="13">
        <v>610000</v>
      </c>
      <c r="J13" s="15">
        <f>SUM(E13:I13)</f>
        <v>2479746</v>
      </c>
      <c r="K13" s="14">
        <f>J13/5</f>
        <v>495949.2</v>
      </c>
      <c r="L13" t="s">
        <v>17</v>
      </c>
    </row>
    <row r="14" spans="2:17" x14ac:dyDescent="0.25">
      <c r="E14" s="15">
        <f>E13-E16</f>
        <v>209821</v>
      </c>
      <c r="F14" s="15">
        <f>F13-F16</f>
        <v>471928</v>
      </c>
      <c r="G14" s="15">
        <f>G13-G16</f>
        <v>544227</v>
      </c>
      <c r="H14" s="15">
        <f>H13-H16</f>
        <v>346424</v>
      </c>
      <c r="I14" s="15">
        <f>I13-I16</f>
        <v>597675</v>
      </c>
      <c r="J14" s="15">
        <f>SUM(E14:I14)</f>
        <v>2170075</v>
      </c>
      <c r="K14" s="14">
        <f>J14/5</f>
        <v>434015</v>
      </c>
      <c r="L14" t="s">
        <v>17</v>
      </c>
    </row>
    <row r="15" spans="2:17" x14ac:dyDescent="0.25">
      <c r="E15" s="15"/>
      <c r="F15" s="15"/>
      <c r="G15" s="15"/>
      <c r="H15" s="15"/>
      <c r="I15" s="15"/>
    </row>
    <row r="16" spans="2:17" x14ac:dyDescent="0.25">
      <c r="E16" s="10">
        <v>5513</v>
      </c>
      <c r="F16" s="10">
        <v>188885</v>
      </c>
      <c r="G16" s="15">
        <v>90623</v>
      </c>
      <c r="H16" s="15">
        <v>12325</v>
      </c>
      <c r="I16" s="15">
        <v>12325</v>
      </c>
      <c r="J16" s="15">
        <f>SUM(E16:I16)</f>
        <v>309671</v>
      </c>
      <c r="K16" s="14">
        <f>J16/5</f>
        <v>61934.2</v>
      </c>
      <c r="L16" s="14">
        <f>K16*30%</f>
        <v>18580.259999999998</v>
      </c>
      <c r="M16" s="14">
        <f>L16*5</f>
        <v>92901.299999999988</v>
      </c>
    </row>
    <row r="18" spans="5:13" ht="18.75" x14ac:dyDescent="0.3">
      <c r="E18" s="24"/>
      <c r="F18" s="24"/>
      <c r="G18" s="24"/>
      <c r="H18" s="57" t="s">
        <v>20</v>
      </c>
      <c r="I18" s="24"/>
      <c r="J18" s="24"/>
      <c r="K18" s="24"/>
      <c r="L18" s="24"/>
      <c r="M18" s="24"/>
    </row>
    <row r="20" spans="5:13" x14ac:dyDescent="0.25">
      <c r="E20" t="s">
        <v>21</v>
      </c>
      <c r="G20" s="10">
        <v>50000</v>
      </c>
      <c r="H20" s="10">
        <v>100000</v>
      </c>
      <c r="I20" s="10">
        <v>150000</v>
      </c>
      <c r="J20" s="10">
        <v>200000</v>
      </c>
    </row>
    <row r="21" spans="5:13" x14ac:dyDescent="0.25">
      <c r="E21" t="s">
        <v>22</v>
      </c>
      <c r="G21" s="10">
        <v>18580</v>
      </c>
      <c r="H21" s="10">
        <v>18580</v>
      </c>
      <c r="I21" s="10">
        <v>18580</v>
      </c>
      <c r="J21" s="10">
        <v>18580</v>
      </c>
    </row>
    <row r="22" spans="5:13" x14ac:dyDescent="0.25">
      <c r="E22" t="s">
        <v>23</v>
      </c>
      <c r="G22" s="8">
        <f>G21/G20</f>
        <v>0.37159999999999999</v>
      </c>
      <c r="H22" s="8">
        <f>H21/H20</f>
        <v>0.18579999999999999</v>
      </c>
      <c r="I22" s="8">
        <f>I21/I20</f>
        <v>0.12386666666666667</v>
      </c>
      <c r="J22" s="8">
        <f>J21/J20</f>
        <v>9.2899999999999996E-2</v>
      </c>
    </row>
    <row r="23" spans="5:13" x14ac:dyDescent="0.25">
      <c r="E23" t="s">
        <v>24</v>
      </c>
      <c r="G23" s="58">
        <v>4.5499999999999999E-2</v>
      </c>
      <c r="H23" s="58">
        <v>4.5499999999999999E-2</v>
      </c>
      <c r="I23" s="58">
        <v>4.5499999999999999E-2</v>
      </c>
      <c r="J23" s="58">
        <v>4.5499999999999999E-2</v>
      </c>
    </row>
    <row r="24" spans="5:13" x14ac:dyDescent="0.25">
      <c r="E24" t="s">
        <v>25</v>
      </c>
      <c r="G24" s="58">
        <v>4.7500000000000001E-2</v>
      </c>
      <c r="H24" s="58">
        <v>4.7500000000000001E-2</v>
      </c>
      <c r="I24" s="58">
        <v>4.7500000000000001E-2</v>
      </c>
      <c r="J24" s="58">
        <v>4.7500000000000001E-2</v>
      </c>
    </row>
    <row r="25" spans="5:13" x14ac:dyDescent="0.25">
      <c r="E25" t="s">
        <v>26</v>
      </c>
      <c r="G25" s="4">
        <v>0.23</v>
      </c>
      <c r="H25" s="4">
        <v>0.23</v>
      </c>
      <c r="I25" s="4">
        <v>0.23</v>
      </c>
      <c r="J25" s="4">
        <v>0.23</v>
      </c>
    </row>
    <row r="27" spans="5:13" x14ac:dyDescent="0.25">
      <c r="E27" s="19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374A-444C-485B-AFC0-18BE55825146}">
  <dimension ref="B2:I32"/>
  <sheetViews>
    <sheetView showGridLines="0" topLeftCell="A20" workbookViewId="0">
      <selection activeCell="I1" sqref="I1"/>
    </sheetView>
  </sheetViews>
  <sheetFormatPr defaultRowHeight="15" x14ac:dyDescent="0.25"/>
  <cols>
    <col min="6" max="6" width="10.85546875" customWidth="1"/>
    <col min="8" max="8" width="14.28515625" bestFit="1" customWidth="1"/>
    <col min="9" max="9" width="12.5703125" bestFit="1" customWidth="1"/>
  </cols>
  <sheetData>
    <row r="2" spans="2:9" ht="18.75" x14ac:dyDescent="0.3">
      <c r="E2" s="16" t="s">
        <v>27</v>
      </c>
      <c r="F2" s="16"/>
      <c r="G2" s="16"/>
    </row>
    <row r="5" spans="2:9" x14ac:dyDescent="0.25">
      <c r="B5" s="93" t="s">
        <v>28</v>
      </c>
      <c r="C5" s="94"/>
      <c r="D5" s="94"/>
      <c r="E5" s="95"/>
      <c r="F5" s="101" t="s">
        <v>49</v>
      </c>
      <c r="G5" s="101" t="s">
        <v>11</v>
      </c>
      <c r="H5" s="101"/>
      <c r="I5" s="101" t="s">
        <v>38</v>
      </c>
    </row>
    <row r="6" spans="2:9" x14ac:dyDescent="0.25">
      <c r="B6" s="96" t="s">
        <v>29</v>
      </c>
      <c r="E6" s="97"/>
      <c r="F6" s="102"/>
      <c r="G6" s="102"/>
      <c r="H6" s="102"/>
      <c r="I6" s="102"/>
    </row>
    <row r="7" spans="2:9" x14ac:dyDescent="0.25">
      <c r="B7" s="96"/>
      <c r="C7" t="s">
        <v>30</v>
      </c>
      <c r="E7" s="97"/>
      <c r="F7" s="102"/>
      <c r="G7" s="102"/>
      <c r="H7" s="102">
        <v>20</v>
      </c>
      <c r="I7" s="102"/>
    </row>
    <row r="8" spans="2:9" x14ac:dyDescent="0.25">
      <c r="B8" s="96"/>
      <c r="C8" t="s">
        <v>47</v>
      </c>
      <c r="E8" s="97"/>
      <c r="F8" s="102"/>
      <c r="G8" s="102"/>
      <c r="H8" s="108">
        <v>100000</v>
      </c>
      <c r="I8" s="102"/>
    </row>
    <row r="9" spans="2:9" x14ac:dyDescent="0.25">
      <c r="B9" s="96"/>
      <c r="C9" t="s">
        <v>48</v>
      </c>
      <c r="E9" s="97"/>
      <c r="F9" s="102"/>
      <c r="G9" s="102"/>
      <c r="H9" s="108">
        <f>H7*H8</f>
        <v>2000000</v>
      </c>
      <c r="I9" s="102"/>
    </row>
    <row r="10" spans="2:9" x14ac:dyDescent="0.25">
      <c r="B10" s="96"/>
      <c r="C10" t="s">
        <v>166</v>
      </c>
      <c r="E10" s="97"/>
      <c r="F10" s="103">
        <v>0.06</v>
      </c>
      <c r="G10" s="103"/>
      <c r="H10" s="108">
        <f>H9*F10</f>
        <v>120000</v>
      </c>
      <c r="I10" s="108">
        <v>120000</v>
      </c>
    </row>
    <row r="11" spans="2:9" x14ac:dyDescent="0.25">
      <c r="B11" s="96"/>
      <c r="C11" t="s">
        <v>167</v>
      </c>
      <c r="E11" s="97"/>
      <c r="F11" s="103">
        <v>0.31</v>
      </c>
      <c r="G11" s="103"/>
      <c r="H11" s="108">
        <f>H9*F11</f>
        <v>620000</v>
      </c>
      <c r="I11" s="108">
        <v>0</v>
      </c>
    </row>
    <row r="12" spans="2:9" x14ac:dyDescent="0.25">
      <c r="B12" s="96" t="s">
        <v>31</v>
      </c>
      <c r="E12" s="97"/>
      <c r="F12" s="106">
        <v>25</v>
      </c>
      <c r="G12" s="104">
        <v>2400</v>
      </c>
      <c r="H12" s="104">
        <v>2400</v>
      </c>
      <c r="I12" s="108">
        <f>F12*G12</f>
        <v>60000</v>
      </c>
    </row>
    <row r="13" spans="2:9" x14ac:dyDescent="0.25">
      <c r="B13" s="96" t="s">
        <v>32</v>
      </c>
      <c r="E13" s="97"/>
      <c r="F13" s="106">
        <v>5</v>
      </c>
      <c r="G13" s="104">
        <v>5000</v>
      </c>
      <c r="H13" s="104">
        <v>5000</v>
      </c>
      <c r="I13" s="108">
        <f t="shared" ref="I13:I18" si="0">F13*G13</f>
        <v>25000</v>
      </c>
    </row>
    <row r="14" spans="2:9" x14ac:dyDescent="0.25">
      <c r="B14" s="96" t="s">
        <v>33</v>
      </c>
      <c r="E14" s="97"/>
      <c r="F14" s="106">
        <v>2</v>
      </c>
      <c r="G14" s="104">
        <v>3000</v>
      </c>
      <c r="H14" s="104">
        <v>3000</v>
      </c>
      <c r="I14" s="108">
        <f t="shared" si="0"/>
        <v>6000</v>
      </c>
    </row>
    <row r="15" spans="2:9" x14ac:dyDescent="0.25">
      <c r="B15" s="96" t="s">
        <v>34</v>
      </c>
      <c r="E15" s="97"/>
      <c r="F15" s="106">
        <v>1</v>
      </c>
      <c r="G15" s="104">
        <v>500</v>
      </c>
      <c r="H15" s="104">
        <v>500</v>
      </c>
      <c r="I15" s="108">
        <f t="shared" si="0"/>
        <v>500</v>
      </c>
    </row>
    <row r="16" spans="2:9" x14ac:dyDescent="0.25">
      <c r="B16" s="96" t="s">
        <v>35</v>
      </c>
      <c r="E16" s="97"/>
      <c r="F16" s="106">
        <v>3</v>
      </c>
      <c r="G16" s="104">
        <v>3000</v>
      </c>
      <c r="H16" s="104">
        <v>3000</v>
      </c>
      <c r="I16" s="108">
        <f t="shared" si="0"/>
        <v>9000</v>
      </c>
    </row>
    <row r="17" spans="2:9" x14ac:dyDescent="0.25">
      <c r="B17" s="96" t="s">
        <v>36</v>
      </c>
      <c r="E17" s="97"/>
      <c r="F17" s="106">
        <v>2</v>
      </c>
      <c r="G17" s="104">
        <v>10000</v>
      </c>
      <c r="H17" s="104">
        <v>10000</v>
      </c>
      <c r="I17" s="108">
        <f t="shared" si="0"/>
        <v>20000</v>
      </c>
    </row>
    <row r="18" spans="2:9" x14ac:dyDescent="0.25">
      <c r="B18" s="98" t="s">
        <v>168</v>
      </c>
      <c r="C18" s="99"/>
      <c r="D18" s="99"/>
      <c r="E18" s="100"/>
      <c r="F18" s="107">
        <v>0.5</v>
      </c>
      <c r="G18" s="105">
        <v>100000</v>
      </c>
      <c r="H18" s="105">
        <v>100000</v>
      </c>
      <c r="I18" s="109">
        <f t="shared" si="0"/>
        <v>50000</v>
      </c>
    </row>
    <row r="19" spans="2:9" ht="15.75" thickBot="1" x14ac:dyDescent="0.3">
      <c r="B19" s="17" t="s">
        <v>37</v>
      </c>
      <c r="C19" s="18"/>
      <c r="D19" s="18"/>
      <c r="E19" s="18"/>
      <c r="F19" s="18"/>
      <c r="G19" s="18"/>
      <c r="H19" s="18"/>
      <c r="I19" s="91">
        <f>SUM(I10:I18)</f>
        <v>290500</v>
      </c>
    </row>
    <row r="20" spans="2:9" ht="15.75" thickTop="1" x14ac:dyDescent="0.25">
      <c r="B20" s="11" t="s">
        <v>39</v>
      </c>
    </row>
    <row r="21" spans="2:9" x14ac:dyDescent="0.25">
      <c r="B21" s="110"/>
      <c r="C21" s="111" t="s">
        <v>40</v>
      </c>
      <c r="D21" s="111"/>
      <c r="E21" s="111"/>
      <c r="F21" s="111"/>
      <c r="G21" s="111"/>
      <c r="H21" s="111"/>
      <c r="I21" s="112">
        <v>5000</v>
      </c>
    </row>
    <row r="22" spans="2:9" x14ac:dyDescent="0.25">
      <c r="B22" s="96"/>
      <c r="C22" t="s">
        <v>41</v>
      </c>
      <c r="I22" s="108">
        <v>5000</v>
      </c>
    </row>
    <row r="23" spans="2:9" x14ac:dyDescent="0.25">
      <c r="B23" s="98"/>
      <c r="C23" s="99" t="s">
        <v>42</v>
      </c>
      <c r="D23" s="99"/>
      <c r="E23" s="99"/>
      <c r="F23" s="99"/>
      <c r="G23" s="99"/>
      <c r="H23" s="99"/>
      <c r="I23" s="109">
        <v>2000</v>
      </c>
    </row>
    <row r="24" spans="2:9" x14ac:dyDescent="0.25">
      <c r="B24" s="11" t="s">
        <v>43</v>
      </c>
      <c r="I24" s="3"/>
    </row>
    <row r="25" spans="2:9" x14ac:dyDescent="0.25">
      <c r="B25" s="110"/>
      <c r="C25" s="111" t="s">
        <v>44</v>
      </c>
      <c r="D25" s="111"/>
      <c r="E25" s="111"/>
      <c r="F25" s="111"/>
      <c r="G25" s="111"/>
      <c r="H25" s="111"/>
      <c r="I25" s="112">
        <v>15000</v>
      </c>
    </row>
    <row r="26" spans="2:9" x14ac:dyDescent="0.25">
      <c r="B26" s="96"/>
      <c r="C26" t="s">
        <v>45</v>
      </c>
      <c r="I26" s="108">
        <v>5000</v>
      </c>
    </row>
    <row r="27" spans="2:9" x14ac:dyDescent="0.25">
      <c r="B27" s="96"/>
      <c r="C27" t="s">
        <v>170</v>
      </c>
      <c r="I27" s="108">
        <v>40000</v>
      </c>
    </row>
    <row r="28" spans="2:9" x14ac:dyDescent="0.25">
      <c r="B28" s="98"/>
      <c r="C28" s="99" t="s">
        <v>169</v>
      </c>
      <c r="D28" s="99"/>
      <c r="E28" s="99"/>
      <c r="F28" s="99"/>
      <c r="G28" s="99"/>
      <c r="H28" s="99"/>
      <c r="I28" s="109">
        <v>25000</v>
      </c>
    </row>
    <row r="29" spans="2:9" ht="15.75" thickBot="1" x14ac:dyDescent="0.3">
      <c r="B29" s="18" t="s">
        <v>37</v>
      </c>
      <c r="C29" s="18"/>
      <c r="D29" s="18"/>
      <c r="E29" s="18"/>
      <c r="F29" s="18"/>
      <c r="G29" s="18"/>
      <c r="H29" s="18"/>
      <c r="I29" s="91">
        <f>SUM(I21:I28)</f>
        <v>97000</v>
      </c>
    </row>
    <row r="30" spans="2:9" ht="15.75" thickTop="1" x14ac:dyDescent="0.25">
      <c r="I30" s="3"/>
    </row>
    <row r="31" spans="2:9" ht="15.75" thickBot="1" x14ac:dyDescent="0.3">
      <c r="B31" s="17" t="s">
        <v>46</v>
      </c>
      <c r="C31" s="17"/>
      <c r="D31" s="17"/>
      <c r="E31" s="17"/>
      <c r="F31" s="17"/>
      <c r="G31" s="17"/>
      <c r="H31" s="17"/>
      <c r="I31" s="92">
        <f>I19+I29</f>
        <v>387500</v>
      </c>
    </row>
    <row r="32" spans="2:9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5C0E-1B90-4D34-B955-0CE2D9C2394F}">
  <dimension ref="B2:L25"/>
  <sheetViews>
    <sheetView showGridLines="0" topLeftCell="A9" workbookViewId="0">
      <selection activeCell="F24" sqref="F24"/>
    </sheetView>
  </sheetViews>
  <sheetFormatPr defaultRowHeight="15" x14ac:dyDescent="0.25"/>
  <cols>
    <col min="2" max="2" width="14.42578125" customWidth="1"/>
    <col min="3" max="3" width="14.140625" customWidth="1"/>
    <col min="4" max="4" width="10.7109375" customWidth="1"/>
    <col min="5" max="5" width="10.85546875" customWidth="1"/>
    <col min="6" max="6" width="10.42578125" customWidth="1"/>
    <col min="8" max="8" width="20.7109375" customWidth="1"/>
    <col min="9" max="9" width="9.85546875" customWidth="1"/>
    <col min="10" max="10" width="11" customWidth="1"/>
    <col min="11" max="11" width="10.28515625" customWidth="1"/>
    <col min="12" max="12" width="10.42578125" customWidth="1"/>
  </cols>
  <sheetData>
    <row r="2" spans="2:12" x14ac:dyDescent="0.25">
      <c r="B2" s="20" t="s">
        <v>59</v>
      </c>
      <c r="C2" s="20"/>
      <c r="D2" s="20"/>
      <c r="E2" s="20"/>
      <c r="F2" s="20"/>
      <c r="G2" s="20"/>
      <c r="H2" s="20"/>
      <c r="I2" s="20"/>
      <c r="J2" s="20"/>
      <c r="K2" s="20"/>
    </row>
    <row r="3" spans="2:12" x14ac:dyDescent="0.25">
      <c r="B3" s="20" t="s">
        <v>60</v>
      </c>
      <c r="C3" s="20"/>
      <c r="D3" s="20"/>
      <c r="E3" s="20"/>
      <c r="F3" s="20"/>
      <c r="G3" s="20"/>
      <c r="H3" s="20"/>
      <c r="I3" s="20"/>
      <c r="J3" s="20"/>
      <c r="K3" s="20"/>
    </row>
    <row r="5" spans="2:12" ht="15.75" x14ac:dyDescent="0.25">
      <c r="B5" s="59" t="s">
        <v>56</v>
      </c>
      <c r="C5" s="24"/>
      <c r="D5" s="24"/>
      <c r="E5" s="24"/>
      <c r="F5" s="24"/>
      <c r="H5" s="59" t="s">
        <v>55</v>
      </c>
      <c r="I5" s="24"/>
      <c r="J5" s="24"/>
      <c r="K5" s="24"/>
      <c r="L5" s="24"/>
    </row>
    <row r="6" spans="2:12" x14ac:dyDescent="0.25">
      <c r="C6" t="s">
        <v>4</v>
      </c>
      <c r="I6" t="s">
        <v>4</v>
      </c>
    </row>
    <row r="7" spans="2:12" x14ac:dyDescent="0.25">
      <c r="C7">
        <v>2021</v>
      </c>
      <c r="D7">
        <v>2022</v>
      </c>
      <c r="E7">
        <v>2023</v>
      </c>
      <c r="F7">
        <v>2024</v>
      </c>
      <c r="I7">
        <v>2021</v>
      </c>
      <c r="J7">
        <v>2022</v>
      </c>
      <c r="K7">
        <v>2023</v>
      </c>
      <c r="L7">
        <v>2024</v>
      </c>
    </row>
    <row r="8" spans="2:12" x14ac:dyDescent="0.25">
      <c r="B8" t="s">
        <v>5</v>
      </c>
      <c r="C8" s="1">
        <v>660813</v>
      </c>
      <c r="D8" s="13">
        <v>634850</v>
      </c>
      <c r="E8" s="13">
        <v>358749</v>
      </c>
      <c r="F8" s="13">
        <v>610000</v>
      </c>
      <c r="H8" t="s">
        <v>0</v>
      </c>
      <c r="I8" s="10">
        <v>188885</v>
      </c>
      <c r="J8" s="15">
        <v>90623</v>
      </c>
      <c r="K8" s="15">
        <v>12325</v>
      </c>
      <c r="L8" s="15">
        <v>12325</v>
      </c>
    </row>
    <row r="9" spans="2:12" x14ac:dyDescent="0.25">
      <c r="B9" t="s">
        <v>6</v>
      </c>
      <c r="C9">
        <v>5</v>
      </c>
      <c r="D9">
        <v>5</v>
      </c>
      <c r="E9">
        <v>5</v>
      </c>
      <c r="F9">
        <v>5</v>
      </c>
      <c r="H9" t="s">
        <v>53</v>
      </c>
      <c r="I9" s="1">
        <v>510000</v>
      </c>
      <c r="J9" s="1">
        <v>510000</v>
      </c>
      <c r="K9" s="1">
        <v>510000</v>
      </c>
      <c r="L9" s="1">
        <v>510000</v>
      </c>
    </row>
    <row r="10" spans="2:12" x14ac:dyDescent="0.25">
      <c r="B10" t="s">
        <v>5</v>
      </c>
      <c r="C10">
        <f>C8*C9</f>
        <v>3304065</v>
      </c>
      <c r="D10">
        <f>D8*D9</f>
        <v>3174250</v>
      </c>
      <c r="E10">
        <f>E8*E9</f>
        <v>1793745</v>
      </c>
      <c r="F10">
        <f>F8*F9</f>
        <v>3050000</v>
      </c>
      <c r="H10" t="s">
        <v>1</v>
      </c>
      <c r="I10">
        <v>2021</v>
      </c>
      <c r="J10">
        <v>2022</v>
      </c>
      <c r="K10">
        <v>2023</v>
      </c>
      <c r="L10">
        <v>2024</v>
      </c>
    </row>
    <row r="11" spans="2:12" x14ac:dyDescent="0.25">
      <c r="B11" t="s">
        <v>7</v>
      </c>
      <c r="C11">
        <f>C10</f>
        <v>3304065</v>
      </c>
      <c r="D11">
        <f>D10</f>
        <v>3174250</v>
      </c>
      <c r="E11">
        <f>E10</f>
        <v>1793745</v>
      </c>
      <c r="F11">
        <f>F10</f>
        <v>3050000</v>
      </c>
      <c r="H11" t="s">
        <v>2</v>
      </c>
      <c r="I11" s="2">
        <f>I8/I9</f>
        <v>0.37036274509803924</v>
      </c>
      <c r="J11" s="2">
        <f>J8/J9</f>
        <v>0.17769215686274509</v>
      </c>
      <c r="K11" s="2">
        <f>K8/K9</f>
        <v>2.4166666666666666E-2</v>
      </c>
      <c r="L11" s="2">
        <f>L8/L9</f>
        <v>2.4166666666666666E-2</v>
      </c>
    </row>
    <row r="12" spans="2:12" x14ac:dyDescent="0.25">
      <c r="B12" t="s">
        <v>8</v>
      </c>
      <c r="C12">
        <v>1000000</v>
      </c>
      <c r="D12">
        <v>1000000</v>
      </c>
      <c r="E12">
        <v>1000000</v>
      </c>
      <c r="F12">
        <v>1000000</v>
      </c>
      <c r="H12" t="s">
        <v>54</v>
      </c>
      <c r="I12" s="2">
        <f>I11*6</f>
        <v>2.2221764705882352</v>
      </c>
      <c r="J12" s="2">
        <f>J11*6</f>
        <v>1.0661529411764705</v>
      </c>
      <c r="K12" s="2">
        <f>K11*6</f>
        <v>0.14499999999999999</v>
      </c>
      <c r="L12" s="2">
        <f>L11*6</f>
        <v>0.14499999999999999</v>
      </c>
    </row>
    <row r="13" spans="2:12" x14ac:dyDescent="0.25">
      <c r="B13" t="s">
        <v>9</v>
      </c>
      <c r="C13" s="2">
        <f>C11/C12</f>
        <v>3.304065</v>
      </c>
      <c r="D13" s="2">
        <f>D11/D12</f>
        <v>3.1742499999999998</v>
      </c>
      <c r="E13" s="2">
        <f>E11/E12</f>
        <v>1.7937449999999999</v>
      </c>
      <c r="F13" s="2">
        <f>F11/F12</f>
        <v>3.05</v>
      </c>
      <c r="H13" t="s">
        <v>3</v>
      </c>
      <c r="I13" s="2">
        <f>SUM(I11:I12)</f>
        <v>2.5925392156862745</v>
      </c>
      <c r="J13" s="2">
        <f>SUM(J11:J12)</f>
        <v>1.2438450980392157</v>
      </c>
      <c r="K13" s="2">
        <f>SUM(K11:K12)</f>
        <v>0.16916666666666666</v>
      </c>
      <c r="L13" s="2">
        <f>SUM(L11:L12)</f>
        <v>0.16916666666666666</v>
      </c>
    </row>
    <row r="16" spans="2:12" ht="15.75" x14ac:dyDescent="0.25">
      <c r="B16" s="59" t="s">
        <v>57</v>
      </c>
      <c r="C16" s="24"/>
      <c r="D16" s="24"/>
      <c r="E16" s="24"/>
      <c r="F16" s="24"/>
      <c r="H16" s="59" t="s">
        <v>58</v>
      </c>
      <c r="I16" s="24"/>
      <c r="J16" s="24"/>
      <c r="K16" s="24"/>
      <c r="L16" s="24"/>
    </row>
    <row r="17" spans="2:6" x14ac:dyDescent="0.25">
      <c r="C17">
        <v>2021</v>
      </c>
      <c r="D17">
        <v>2022</v>
      </c>
      <c r="E17">
        <v>2023</v>
      </c>
      <c r="F17">
        <v>2024</v>
      </c>
    </row>
    <row r="18" spans="2:6" x14ac:dyDescent="0.25">
      <c r="B18" t="s">
        <v>5</v>
      </c>
      <c r="C18" s="1">
        <v>660813</v>
      </c>
      <c r="D18" s="13">
        <v>634850</v>
      </c>
      <c r="E18" s="13">
        <v>358749</v>
      </c>
      <c r="F18" s="13">
        <v>610000</v>
      </c>
    </row>
    <row r="19" spans="2:6" x14ac:dyDescent="0.25">
      <c r="B19" t="s">
        <v>6</v>
      </c>
      <c r="C19">
        <v>5</v>
      </c>
      <c r="D19">
        <v>5</v>
      </c>
      <c r="E19">
        <v>5</v>
      </c>
      <c r="F19">
        <v>5</v>
      </c>
    </row>
    <row r="20" spans="2:6" x14ac:dyDescent="0.25">
      <c r="B20" t="s">
        <v>5</v>
      </c>
      <c r="C20">
        <f>C18*C19</f>
        <v>3304065</v>
      </c>
      <c r="D20">
        <f>D18*D19</f>
        <v>3174250</v>
      </c>
      <c r="E20">
        <f>E18*E19</f>
        <v>1793745</v>
      </c>
      <c r="F20">
        <f>F18*F19</f>
        <v>3050000</v>
      </c>
    </row>
    <row r="21" spans="2:6" x14ac:dyDescent="0.25">
      <c r="B21" t="s">
        <v>7</v>
      </c>
      <c r="C21">
        <f>C20</f>
        <v>3304065</v>
      </c>
      <c r="D21">
        <f>D20</f>
        <v>3174250</v>
      </c>
      <c r="E21">
        <f>E20</f>
        <v>1793745</v>
      </c>
      <c r="F21">
        <f>F20</f>
        <v>3050000</v>
      </c>
    </row>
    <row r="22" spans="2:6" ht="15.75" thickBot="1" x14ac:dyDescent="0.3">
      <c r="B22" s="22" t="s">
        <v>61</v>
      </c>
      <c r="C22" s="22">
        <v>150000</v>
      </c>
      <c r="D22" s="22">
        <v>200000</v>
      </c>
      <c r="E22" s="22">
        <v>250000</v>
      </c>
      <c r="F22" s="22">
        <v>387000</v>
      </c>
    </row>
    <row r="23" spans="2:6" ht="16.5" thickTop="1" thickBot="1" x14ac:dyDescent="0.3">
      <c r="B23" s="21" t="s">
        <v>37</v>
      </c>
      <c r="C23" s="21">
        <f>SUM(C21:C22)</f>
        <v>3454065</v>
      </c>
      <c r="D23" s="21">
        <f>SUM(D21:D22)</f>
        <v>3374250</v>
      </c>
      <c r="E23" s="21">
        <f>SUM(E21:E22)</f>
        <v>2043745</v>
      </c>
      <c r="F23" s="21">
        <f>SUM(F21:F22)</f>
        <v>3437000</v>
      </c>
    </row>
    <row r="24" spans="2:6" x14ac:dyDescent="0.25">
      <c r="B24" t="s">
        <v>8</v>
      </c>
      <c r="C24">
        <v>1000000</v>
      </c>
      <c r="D24">
        <v>1000000</v>
      </c>
      <c r="E24">
        <v>1000000</v>
      </c>
      <c r="F24">
        <v>1000000</v>
      </c>
    </row>
    <row r="25" spans="2:6" x14ac:dyDescent="0.25">
      <c r="B25" t="s">
        <v>9</v>
      </c>
      <c r="C25" s="2">
        <f>C23/C24</f>
        <v>3.4540649999999999</v>
      </c>
      <c r="D25" s="2">
        <f>D23/D24</f>
        <v>3.37425</v>
      </c>
      <c r="E25" s="2">
        <f>E23/E24</f>
        <v>2.0437449999999999</v>
      </c>
      <c r="F25" s="2">
        <f>F23/F24</f>
        <v>3.4369999999999998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57E3-A62F-4A99-B023-EA31D110597B}">
  <dimension ref="C4:C12"/>
  <sheetViews>
    <sheetView workbookViewId="0">
      <selection activeCell="I14" sqref="I14"/>
    </sheetView>
  </sheetViews>
  <sheetFormatPr defaultRowHeight="15" x14ac:dyDescent="0.25"/>
  <sheetData>
    <row r="4" spans="3:3" x14ac:dyDescent="0.25">
      <c r="C4" t="s">
        <v>50</v>
      </c>
    </row>
    <row r="6" spans="3:3" x14ac:dyDescent="0.25">
      <c r="C6" t="s">
        <v>52</v>
      </c>
    </row>
    <row r="8" spans="3:3" x14ac:dyDescent="0.25">
      <c r="C8" t="s">
        <v>62</v>
      </c>
    </row>
    <row r="10" spans="3:3" x14ac:dyDescent="0.25">
      <c r="C10" t="s">
        <v>63</v>
      </c>
    </row>
    <row r="12" spans="3:3" x14ac:dyDescent="0.25">
      <c r="C1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CapTable</vt:lpstr>
      <vt:lpstr>PartnersValue</vt:lpstr>
      <vt:lpstr>Convertible</vt:lpstr>
      <vt:lpstr>YOY</vt:lpstr>
      <vt:lpstr>Assumptions</vt:lpstr>
      <vt:lpstr>Intg Value</vt:lpstr>
      <vt:lpstr>Valuation Methods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ZAPATA</dc:creator>
  <cp:lastModifiedBy>GILBERTO ZAPATA</cp:lastModifiedBy>
  <cp:lastPrinted>2025-01-23T02:12:05Z</cp:lastPrinted>
  <dcterms:created xsi:type="dcterms:W3CDTF">2025-01-09T02:34:21Z</dcterms:created>
  <dcterms:modified xsi:type="dcterms:W3CDTF">2025-08-08T14:10:23Z</dcterms:modified>
</cp:coreProperties>
</file>